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omments5.xml" ContentType="application/vnd.openxmlformats-officedocument.spreadsheetml.comment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8_{E74DEED1-8327-488A-BEE0-68243D0A3422}" xr6:coauthVersionLast="47" xr6:coauthVersionMax="47" xr10:uidLastSave="{00000000-0000-0000-0000-000000000000}"/>
  <bookViews>
    <workbookView xWindow="-120" yWindow="-120" windowWidth="29040" windowHeight="15720" tabRatio="837" activeTab="11" xr2:uid="{00000000-000D-0000-FFFF-FFFF00000000}"/>
  </bookViews>
  <sheets>
    <sheet name="Titullapa" sheetId="2" r:id="rId1"/>
    <sheet name="Proj_FinEkonAnalize " sheetId="17" r:id="rId2"/>
    <sheet name="Pieņēmumi" sheetId="3" state="hidden" r:id="rId3"/>
    <sheet name="Projekts" sheetId="4" r:id="rId4"/>
    <sheet name="NPV_Bāze_I" sheetId="5" r:id="rId5"/>
    <sheet name="NPV_PPP_koncesija" sheetId="7" r:id="rId6"/>
    <sheet name="Tarifs" sheetId="20" r:id="rId7"/>
    <sheet name="NPV_Bāze_II" sheetId="13" state="hidden" r:id="rId8"/>
    <sheet name="NPV_PPP_partnerība" sheetId="6" state="hidden" r:id="rId9"/>
    <sheet name="NPV_PPP_institucionālā" sheetId="12" state="hidden" r:id="rId10"/>
    <sheet name="Risku analīze" sheetId="8" state="hidden" r:id="rId11"/>
    <sheet name="Jutīguma analīze" sheetId="9" r:id="rId12"/>
    <sheet name="VK - saistības" sheetId="19" r:id="rId13"/>
    <sheet name="IAV" sheetId="10" r:id="rId14"/>
    <sheet name="Statistiskā uzskaite" sheetId="11"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 l="1"/>
  <c r="AA9" i="5"/>
  <c r="C35" i="7"/>
  <c r="C33" i="5"/>
  <c r="C23" i="5" l="1"/>
  <c r="AA37" i="7" l="1"/>
  <c r="E35" i="7" l="1"/>
  <c r="E36" i="7"/>
  <c r="J27" i="19" s="1"/>
  <c r="N15" i="19"/>
  <c r="N24" i="19" s="1"/>
  <c r="G15" i="19"/>
  <c r="G19" i="19" s="1"/>
  <c r="G20" i="19" s="1"/>
  <c r="M25" i="19"/>
  <c r="L25" i="19"/>
  <c r="K25" i="19"/>
  <c r="J25" i="19"/>
  <c r="I25" i="19"/>
  <c r="H25" i="19"/>
  <c r="G25" i="19"/>
  <c r="H23" i="19"/>
  <c r="I23" i="19" s="1"/>
  <c r="J23" i="19" s="1"/>
  <c r="K23" i="19" s="1"/>
  <c r="L23" i="19" s="1"/>
  <c r="M23" i="19" s="1"/>
  <c r="M16" i="19"/>
  <c r="L16" i="19"/>
  <c r="K16" i="19"/>
  <c r="J16" i="19"/>
  <c r="I16" i="19"/>
  <c r="H16" i="19"/>
  <c r="G16" i="19"/>
  <c r="E16" i="19"/>
  <c r="O15" i="19"/>
  <c r="O24" i="19" s="1"/>
  <c r="M15" i="19"/>
  <c r="M24" i="19" s="1"/>
  <c r="L15" i="19"/>
  <c r="L24" i="19" s="1"/>
  <c r="K15" i="19"/>
  <c r="K24" i="19" s="1"/>
  <c r="J15" i="19"/>
  <c r="J24" i="19" s="1"/>
  <c r="I15" i="19"/>
  <c r="I24" i="19" s="1"/>
  <c r="I28" i="19" s="1"/>
  <c r="I29" i="19" s="1"/>
  <c r="H15" i="19"/>
  <c r="H24" i="19" s="1"/>
  <c r="H28" i="19" s="1"/>
  <c r="H29" i="19" s="1"/>
  <c r="H14" i="19"/>
  <c r="I14" i="19" s="1"/>
  <c r="J14" i="19" s="1"/>
  <c r="K14" i="19" s="1"/>
  <c r="L14" i="19" s="1"/>
  <c r="M14" i="19" s="1"/>
  <c r="E22" i="5"/>
  <c r="E33" i="5"/>
  <c r="AA48" i="5"/>
  <c r="AA35" i="5"/>
  <c r="AA25" i="5"/>
  <c r="AA28" i="5"/>
  <c r="AA18" i="5"/>
  <c r="I19" i="19" l="1"/>
  <c r="I20" i="19" s="1"/>
  <c r="I21" i="19" s="1"/>
  <c r="J28" i="19"/>
  <c r="J29" i="19" s="1"/>
  <c r="J30" i="19" s="1"/>
  <c r="I30" i="19"/>
  <c r="G24" i="19"/>
  <c r="G28" i="19" s="1"/>
  <c r="G29" i="19" s="1"/>
  <c r="H19" i="19"/>
  <c r="H20" i="19" s="1"/>
  <c r="Y29" i="5" l="1"/>
  <c r="Y30" i="5"/>
  <c r="Y53" i="7"/>
  <c r="W29" i="7"/>
  <c r="X29" i="7"/>
  <c r="Y29" i="7"/>
  <c r="Y30" i="7"/>
  <c r="E11" i="7"/>
  <c r="E11" i="5"/>
  <c r="D10" i="4"/>
  <c r="Y10" i="7"/>
  <c r="E8" i="5"/>
  <c r="Y10" i="5"/>
  <c r="E1" i="17"/>
  <c r="F1" i="17" s="1"/>
  <c r="G1" i="17" s="1"/>
  <c r="H1" i="17" s="1"/>
  <c r="I1" i="17" s="1"/>
  <c r="J1" i="17" s="1"/>
  <c r="K1" i="17" s="1"/>
  <c r="L1" i="17" s="1"/>
  <c r="M1" i="17" s="1"/>
  <c r="N1" i="17" s="1"/>
  <c r="O1" i="17" s="1"/>
  <c r="P1" i="17" s="1"/>
  <c r="Q1" i="17" s="1"/>
  <c r="R1" i="17" s="1"/>
  <c r="S1" i="17" s="1"/>
  <c r="T1" i="17" s="1"/>
  <c r="U1" i="17" s="1"/>
  <c r="V1" i="17" s="1"/>
  <c r="W1" i="17" s="1"/>
  <c r="X1" i="17" s="1"/>
  <c r="Y1" i="17" s="1"/>
  <c r="Z1" i="17" s="1"/>
  <c r="AA1" i="17" s="1"/>
  <c r="AB1" i="17" s="1"/>
  <c r="I4" i="17"/>
  <c r="G11" i="7" s="1"/>
  <c r="E6" i="17"/>
  <c r="F21" i="17"/>
  <c r="D61" i="17" s="1"/>
  <c r="D107" i="17" s="1"/>
  <c r="F22" i="17"/>
  <c r="D62" i="17" s="1"/>
  <c r="E62" i="17" s="1"/>
  <c r="F23" i="17"/>
  <c r="D63" i="17" s="1"/>
  <c r="D109" i="17" s="1"/>
  <c r="F24" i="17"/>
  <c r="D64" i="17" s="1"/>
  <c r="D110" i="17" s="1"/>
  <c r="F25" i="17"/>
  <c r="D65" i="17" s="1"/>
  <c r="F26" i="17"/>
  <c r="D66" i="17" s="1"/>
  <c r="D112" i="17" s="1"/>
  <c r="F27" i="17"/>
  <c r="D67" i="17" s="1"/>
  <c r="F28" i="17"/>
  <c r="D68" i="17" s="1"/>
  <c r="D114" i="17" s="1"/>
  <c r="F29" i="17"/>
  <c r="D69" i="17" s="1"/>
  <c r="D115" i="17" s="1"/>
  <c r="F30" i="17"/>
  <c r="D70" i="17" s="1"/>
  <c r="F31" i="17"/>
  <c r="D71" i="17" s="1"/>
  <c r="E71" i="17" s="1"/>
  <c r="F71" i="17" s="1"/>
  <c r="G71" i="17" s="1"/>
  <c r="H71" i="17" s="1"/>
  <c r="I71" i="17" s="1"/>
  <c r="J71" i="17" s="1"/>
  <c r="K71" i="17" s="1"/>
  <c r="L71" i="17" s="1"/>
  <c r="M71" i="17" s="1"/>
  <c r="N71" i="17" s="1"/>
  <c r="O71" i="17" s="1"/>
  <c r="P71" i="17" s="1"/>
  <c r="Q71" i="17" s="1"/>
  <c r="R71" i="17" s="1"/>
  <c r="S71" i="17" s="1"/>
  <c r="T71" i="17" s="1"/>
  <c r="U71" i="17" s="1"/>
  <c r="V71" i="17" s="1"/>
  <c r="W71" i="17" s="1"/>
  <c r="X71" i="17" s="1"/>
  <c r="Y71" i="17" s="1"/>
  <c r="Z71" i="17" s="1"/>
  <c r="AA71" i="17" s="1"/>
  <c r="AB71" i="17" s="1"/>
  <c r="F32" i="17"/>
  <c r="D72" i="17" s="1"/>
  <c r="E72" i="17" s="1"/>
  <c r="F72" i="17" s="1"/>
  <c r="D33" i="17"/>
  <c r="D34" i="17" s="1"/>
  <c r="E34" i="17"/>
  <c r="E45" i="17"/>
  <c r="F45" i="17" s="1"/>
  <c r="D48" i="17"/>
  <c r="S48" i="17"/>
  <c r="T48" i="17" s="1"/>
  <c r="U48" i="17" s="1"/>
  <c r="V48" i="17" s="1"/>
  <c r="W48" i="17" s="1"/>
  <c r="X48" i="17" s="1"/>
  <c r="Y48" i="17" s="1"/>
  <c r="Z48" i="17" s="1"/>
  <c r="AA48" i="17" s="1"/>
  <c r="AB48" i="17" s="1"/>
  <c r="E50" i="17"/>
  <c r="F50" i="17" s="1"/>
  <c r="D52" i="17"/>
  <c r="D54" i="17" s="1"/>
  <c r="D56" i="17" s="1"/>
  <c r="D53" i="17"/>
  <c r="D55" i="17" s="1"/>
  <c r="D83" i="17"/>
  <c r="D84" i="17"/>
  <c r="D88" i="17"/>
  <c r="D92" i="17" s="1"/>
  <c r="D89" i="17"/>
  <c r="D90" i="17"/>
  <c r="S93" i="17"/>
  <c r="T93" i="17" s="1"/>
  <c r="U93" i="17" s="1"/>
  <c r="V93" i="17" s="1"/>
  <c r="W93" i="17" s="1"/>
  <c r="X93" i="17" s="1"/>
  <c r="Y93" i="17" s="1"/>
  <c r="Z93" i="17" s="1"/>
  <c r="AA93" i="17" s="1"/>
  <c r="AB93" i="17" s="1"/>
  <c r="D96" i="17"/>
  <c r="D98" i="17" s="1"/>
  <c r="D100" i="17" s="1"/>
  <c r="D102" i="17" s="1"/>
  <c r="I96" i="17"/>
  <c r="J96" i="17" s="1"/>
  <c r="K96" i="17" s="1"/>
  <c r="L96" i="17" s="1"/>
  <c r="D99" i="17"/>
  <c r="D101" i="17" s="1"/>
  <c r="D103" i="17" s="1"/>
  <c r="B143" i="17"/>
  <c r="E143" i="17"/>
  <c r="H145" i="17"/>
  <c r="D151" i="17"/>
  <c r="D155" i="17"/>
  <c r="D156" i="17"/>
  <c r="D161" i="17"/>
  <c r="D163" i="17" s="1"/>
  <c r="D176" i="17"/>
  <c r="E193" i="17"/>
  <c r="F193" i="17" s="1"/>
  <c r="E213" i="17"/>
  <c r="F213" i="17" s="1"/>
  <c r="E220" i="17"/>
  <c r="E232" i="17"/>
  <c r="F232" i="17" s="1"/>
  <c r="C242" i="17"/>
  <c r="C243" i="17" s="1"/>
  <c r="C244" i="17" s="1"/>
  <c r="E245" i="17"/>
  <c r="F245" i="17" s="1"/>
  <c r="G245" i="17" s="1"/>
  <c r="C252" i="17"/>
  <c r="C253" i="17" s="1"/>
  <c r="E254" i="17"/>
  <c r="F254" i="17" s="1"/>
  <c r="G254" i="17" s="1"/>
  <c r="E64" i="17" l="1"/>
  <c r="F64" i="17" s="1"/>
  <c r="G64" i="17" s="1"/>
  <c r="H64" i="17" s="1"/>
  <c r="I64" i="17" s="1"/>
  <c r="J64" i="17" s="1"/>
  <c r="K64" i="17" s="1"/>
  <c r="L64" i="17" s="1"/>
  <c r="M64" i="17" s="1"/>
  <c r="N64" i="17" s="1"/>
  <c r="O64" i="17" s="1"/>
  <c r="P64" i="17" s="1"/>
  <c r="Q64" i="17" s="1"/>
  <c r="R64" i="17" s="1"/>
  <c r="S64" i="17" s="1"/>
  <c r="T64" i="17" s="1"/>
  <c r="U64" i="17" s="1"/>
  <c r="V64" i="17" s="1"/>
  <c r="W64" i="17" s="1"/>
  <c r="X64" i="17" s="1"/>
  <c r="Y64" i="17" s="1"/>
  <c r="Z64" i="17" s="1"/>
  <c r="AA64" i="17" s="1"/>
  <c r="AB64" i="17" s="1"/>
  <c r="I5" i="17"/>
  <c r="J5" i="17" s="1"/>
  <c r="K5" i="17" s="1"/>
  <c r="L5" i="17" s="1"/>
  <c r="M5" i="17" s="1"/>
  <c r="N5" i="17" s="1"/>
  <c r="O5" i="17" s="1"/>
  <c r="P5" i="17" s="1"/>
  <c r="Q5" i="17" s="1"/>
  <c r="R5" i="17" s="1"/>
  <c r="S5" i="17" s="1"/>
  <c r="T5" i="17" s="1"/>
  <c r="U5" i="17" s="1"/>
  <c r="V5" i="17" s="1"/>
  <c r="W5" i="17" s="1"/>
  <c r="X5" i="17" s="1"/>
  <c r="Y5" i="17" s="1"/>
  <c r="Z5" i="17" s="1"/>
  <c r="AA5" i="17" s="1"/>
  <c r="AB5" i="17" s="1"/>
  <c r="F27" i="5"/>
  <c r="F33" i="17"/>
  <c r="D73" i="17" s="1"/>
  <c r="E73" i="17" s="1"/>
  <c r="E119" i="17" s="1"/>
  <c r="F117" i="17"/>
  <c r="G117" i="17" s="1"/>
  <c r="H117" i="17" s="1"/>
  <c r="I117" i="17" s="1"/>
  <c r="J117" i="17" s="1"/>
  <c r="K117" i="17" s="1"/>
  <c r="L117" i="17" s="1"/>
  <c r="M117" i="17" s="1"/>
  <c r="N117" i="17" s="1"/>
  <c r="O117" i="17" s="1"/>
  <c r="P117" i="17" s="1"/>
  <c r="Q117" i="17" s="1"/>
  <c r="R117" i="17" s="1"/>
  <c r="S117" i="17" s="1"/>
  <c r="T117" i="17" s="1"/>
  <c r="U117" i="17" s="1"/>
  <c r="V117" i="17" s="1"/>
  <c r="W117" i="17" s="1"/>
  <c r="X117" i="17" s="1"/>
  <c r="Y117" i="17" s="1"/>
  <c r="Z117" i="17" s="1"/>
  <c r="AA117" i="17" s="1"/>
  <c r="AB117" i="17" s="1"/>
  <c r="E88" i="17"/>
  <c r="D108" i="17"/>
  <c r="H245" i="17"/>
  <c r="E91" i="17"/>
  <c r="F91" i="17" s="1"/>
  <c r="G232" i="17"/>
  <c r="H232" i="17" s="1"/>
  <c r="G213" i="17"/>
  <c r="H213" i="17" s="1"/>
  <c r="D118" i="17"/>
  <c r="E65" i="17"/>
  <c r="F65" i="17" s="1"/>
  <c r="D111" i="17"/>
  <c r="D184" i="17"/>
  <c r="D188" i="17" s="1"/>
  <c r="D223" i="17"/>
  <c r="D227" i="17" s="1"/>
  <c r="G50" i="17"/>
  <c r="F96" i="17"/>
  <c r="D204" i="17"/>
  <c r="D208" i="17" s="1"/>
  <c r="E66" i="17"/>
  <c r="E112" i="17" s="1"/>
  <c r="F6" i="17"/>
  <c r="F52" i="17" s="1"/>
  <c r="E99" i="17"/>
  <c r="E101" i="17" s="1"/>
  <c r="E52" i="17"/>
  <c r="E54" i="17" s="1"/>
  <c r="E56" i="17" s="1"/>
  <c r="J4" i="17"/>
  <c r="G11" i="5"/>
  <c r="G193" i="17"/>
  <c r="H193" i="17" s="1"/>
  <c r="E53" i="17"/>
  <c r="E55" i="17" s="1"/>
  <c r="F88" i="17"/>
  <c r="G45" i="17"/>
  <c r="G88" i="17" s="1"/>
  <c r="F10" i="4"/>
  <c r="E70" i="17"/>
  <c r="D116" i="17"/>
  <c r="E108" i="17"/>
  <c r="F62" i="17"/>
  <c r="F11" i="5"/>
  <c r="F11" i="7"/>
  <c r="E118" i="17"/>
  <c r="D162" i="17"/>
  <c r="D164" i="17" s="1"/>
  <c r="D224" i="17" s="1"/>
  <c r="D228" i="17" s="1"/>
  <c r="D104" i="17"/>
  <c r="E96" i="17"/>
  <c r="E98" i="17" s="1"/>
  <c r="E100" i="17" s="1"/>
  <c r="E102" i="17" s="1"/>
  <c r="E67" i="17"/>
  <c r="D113" i="17"/>
  <c r="E10" i="4"/>
  <c r="E48" i="17"/>
  <c r="F48" i="17" s="1"/>
  <c r="G48" i="17" s="1"/>
  <c r="E117" i="17"/>
  <c r="D117" i="17"/>
  <c r="F60" i="7"/>
  <c r="F59" i="7"/>
  <c r="F17" i="5"/>
  <c r="F28" i="7"/>
  <c r="F27" i="7"/>
  <c r="F23" i="7"/>
  <c r="F24" i="5"/>
  <c r="H254" i="17"/>
  <c r="I145" i="17"/>
  <c r="J145" i="17" s="1"/>
  <c r="K145" i="17" s="1"/>
  <c r="L145" i="17" s="1"/>
  <c r="M145" i="17" s="1"/>
  <c r="N145" i="17" s="1"/>
  <c r="O145" i="17" s="1"/>
  <c r="P145" i="17" s="1"/>
  <c r="Q145" i="17" s="1"/>
  <c r="R145" i="17" s="1"/>
  <c r="S145" i="17" s="1"/>
  <c r="T145" i="17" s="1"/>
  <c r="U145" i="17" s="1"/>
  <c r="V145" i="17" s="1"/>
  <c r="W145" i="17" s="1"/>
  <c r="X145" i="17" s="1"/>
  <c r="Y145" i="17" s="1"/>
  <c r="Z145" i="17" s="1"/>
  <c r="AA145" i="17" s="1"/>
  <c r="D57" i="17"/>
  <c r="D58" i="17" s="1"/>
  <c r="G72" i="17"/>
  <c r="H72" i="17" s="1"/>
  <c r="I72" i="17" s="1"/>
  <c r="J72" i="17" s="1"/>
  <c r="K72" i="17" s="1"/>
  <c r="L72" i="17" s="1"/>
  <c r="M72" i="17" s="1"/>
  <c r="N72" i="17" s="1"/>
  <c r="O72" i="17" s="1"/>
  <c r="P72" i="17" s="1"/>
  <c r="Q72" i="17" s="1"/>
  <c r="R72" i="17" s="1"/>
  <c r="S72" i="17" s="1"/>
  <c r="T72" i="17" s="1"/>
  <c r="U72" i="17" s="1"/>
  <c r="V72" i="17" s="1"/>
  <c r="W72" i="17" s="1"/>
  <c r="X72" i="17" s="1"/>
  <c r="Y72" i="17" s="1"/>
  <c r="Z72" i="17" s="1"/>
  <c r="AA72" i="17" s="1"/>
  <c r="AB72" i="17" s="1"/>
  <c r="F118" i="17"/>
  <c r="G118" i="17" s="1"/>
  <c r="H118" i="17" s="1"/>
  <c r="I118" i="17" s="1"/>
  <c r="J118" i="17" s="1"/>
  <c r="K118" i="17" s="1"/>
  <c r="L118" i="17" s="1"/>
  <c r="M118" i="17" s="1"/>
  <c r="N118" i="17" s="1"/>
  <c r="O118" i="17" s="1"/>
  <c r="P118" i="17" s="1"/>
  <c r="Q118" i="17" s="1"/>
  <c r="R118" i="17" s="1"/>
  <c r="S118" i="17" s="1"/>
  <c r="T118" i="17" s="1"/>
  <c r="U118" i="17" s="1"/>
  <c r="V118" i="17" s="1"/>
  <c r="W118" i="17" s="1"/>
  <c r="X118" i="17" s="1"/>
  <c r="Y118" i="17" s="1"/>
  <c r="Z118" i="17" s="1"/>
  <c r="AA118" i="17" s="1"/>
  <c r="AB118" i="17" s="1"/>
  <c r="E69" i="17"/>
  <c r="M96" i="17"/>
  <c r="E63" i="17"/>
  <c r="F73" i="17" l="1"/>
  <c r="F119" i="17" s="1"/>
  <c r="F34" i="17"/>
  <c r="F110" i="17"/>
  <c r="G110" i="17" s="1"/>
  <c r="H110" i="17" s="1"/>
  <c r="I110" i="17" s="1"/>
  <c r="J110" i="17" s="1"/>
  <c r="K110" i="17" s="1"/>
  <c r="L110" i="17" s="1"/>
  <c r="M110" i="17" s="1"/>
  <c r="N110" i="17" s="1"/>
  <c r="O110" i="17" s="1"/>
  <c r="P110" i="17" s="1"/>
  <c r="Q110" i="17" s="1"/>
  <c r="R110" i="17" s="1"/>
  <c r="S110" i="17" s="1"/>
  <c r="T110" i="17" s="1"/>
  <c r="U110" i="17" s="1"/>
  <c r="V110" i="17" s="1"/>
  <c r="W110" i="17" s="1"/>
  <c r="X110" i="17" s="1"/>
  <c r="Y110" i="17" s="1"/>
  <c r="Z110" i="17" s="1"/>
  <c r="AA110" i="17" s="1"/>
  <c r="AB110" i="17" s="1"/>
  <c r="D74" i="17"/>
  <c r="D77" i="17" s="1"/>
  <c r="D119" i="17"/>
  <c r="G23" i="7"/>
  <c r="H23" i="7" s="1"/>
  <c r="I23" i="7" s="1"/>
  <c r="J23" i="7" s="1"/>
  <c r="K23" i="7" s="1"/>
  <c r="L23" i="7" s="1"/>
  <c r="M23" i="7" s="1"/>
  <c r="N23" i="7" s="1"/>
  <c r="O23" i="7" s="1"/>
  <c r="P23" i="7" s="1"/>
  <c r="Q23" i="7" s="1"/>
  <c r="R23" i="7" s="1"/>
  <c r="S23" i="7" s="1"/>
  <c r="T23" i="7" s="1"/>
  <c r="U23" i="7" s="1"/>
  <c r="V23" i="7" s="1"/>
  <c r="W23" i="7" s="1"/>
  <c r="X23" i="7" s="1"/>
  <c r="Y23" i="7" s="1"/>
  <c r="E110" i="17"/>
  <c r="G27" i="7"/>
  <c r="H27" i="7" s="1"/>
  <c r="I27" i="7" s="1"/>
  <c r="J27" i="7" s="1"/>
  <c r="K27" i="7" s="1"/>
  <c r="L27" i="7" s="1"/>
  <c r="M27" i="7" s="1"/>
  <c r="N27" i="7" s="1"/>
  <c r="O27" i="7" s="1"/>
  <c r="P27" i="7" s="1"/>
  <c r="Q27" i="7" s="1"/>
  <c r="R27" i="7" s="1"/>
  <c r="S27" i="7" s="1"/>
  <c r="T27" i="7" s="1"/>
  <c r="U27" i="7" s="1"/>
  <c r="V27" i="7" s="1"/>
  <c r="W27" i="7" s="1"/>
  <c r="X27" i="7" s="1"/>
  <c r="Y27" i="7" s="1"/>
  <c r="I245" i="17"/>
  <c r="J245" i="17" s="1"/>
  <c r="G28" i="7"/>
  <c r="H28" i="7" s="1"/>
  <c r="I28" i="7" s="1"/>
  <c r="J28" i="7" s="1"/>
  <c r="K28" i="7" s="1"/>
  <c r="L28" i="7" s="1"/>
  <c r="M28" i="7" s="1"/>
  <c r="N28" i="7" s="1"/>
  <c r="O28" i="7" s="1"/>
  <c r="P28" i="7" s="1"/>
  <c r="Q28" i="7" s="1"/>
  <c r="R28" i="7" s="1"/>
  <c r="S28" i="7" s="1"/>
  <c r="T28" i="7" s="1"/>
  <c r="U28" i="7" s="1"/>
  <c r="V28" i="7" s="1"/>
  <c r="W28" i="7" s="1"/>
  <c r="X28" i="7" s="1"/>
  <c r="Y28" i="7" s="1"/>
  <c r="G59" i="7"/>
  <c r="H59" i="7" s="1"/>
  <c r="I59" i="7" s="1"/>
  <c r="J59" i="7" s="1"/>
  <c r="K59" i="7" s="1"/>
  <c r="L59" i="7" s="1"/>
  <c r="M59" i="7" s="1"/>
  <c r="N59" i="7" s="1"/>
  <c r="O59" i="7" s="1"/>
  <c r="P59" i="7" s="1"/>
  <c r="Q59" i="7" s="1"/>
  <c r="R59" i="7" s="1"/>
  <c r="S59" i="7" s="1"/>
  <c r="T59" i="7" s="1"/>
  <c r="U59" i="7" s="1"/>
  <c r="V59" i="7" s="1"/>
  <c r="W59" i="7" s="1"/>
  <c r="X59" i="7" s="1"/>
  <c r="Y59" i="7" s="1"/>
  <c r="G60" i="7"/>
  <c r="H60" i="7" s="1"/>
  <c r="I60" i="7" s="1"/>
  <c r="J60" i="7" s="1"/>
  <c r="K60" i="7" s="1"/>
  <c r="L60" i="7" s="1"/>
  <c r="M60" i="7" s="1"/>
  <c r="N60" i="7" s="1"/>
  <c r="O60" i="7" s="1"/>
  <c r="P60" i="7" s="1"/>
  <c r="Q60" i="7" s="1"/>
  <c r="R60" i="7" s="1"/>
  <c r="S60" i="7" s="1"/>
  <c r="T60" i="7" s="1"/>
  <c r="U60" i="7" s="1"/>
  <c r="V60" i="7" s="1"/>
  <c r="W60" i="7" s="1"/>
  <c r="X60" i="7" s="1"/>
  <c r="Y60" i="7" s="1"/>
  <c r="I213" i="17"/>
  <c r="E92" i="17"/>
  <c r="E111" i="17"/>
  <c r="F47" i="17"/>
  <c r="F46" i="17" s="1"/>
  <c r="F89" i="17" s="1"/>
  <c r="H45" i="17"/>
  <c r="I45" i="17" s="1"/>
  <c r="D205" i="17"/>
  <c r="D209" i="17" s="1"/>
  <c r="D185" i="17"/>
  <c r="I193" i="17"/>
  <c r="D120" i="17"/>
  <c r="D121" i="17" s="1"/>
  <c r="F54" i="17"/>
  <c r="F56" i="17" s="1"/>
  <c r="G47" i="17"/>
  <c r="G46" i="17" s="1"/>
  <c r="G89" i="17" s="1"/>
  <c r="D225" i="17"/>
  <c r="D233" i="17" s="1"/>
  <c r="F92" i="17"/>
  <c r="G17" i="5"/>
  <c r="H17" i="5" s="1"/>
  <c r="I17" i="5" s="1"/>
  <c r="J17" i="5" s="1"/>
  <c r="K17" i="5" s="1"/>
  <c r="L17" i="5" s="1"/>
  <c r="M17" i="5" s="1"/>
  <c r="N17" i="5" s="1"/>
  <c r="O17" i="5" s="1"/>
  <c r="P17" i="5" s="1"/>
  <c r="Q17" i="5" s="1"/>
  <c r="R17" i="5" s="1"/>
  <c r="S17" i="5" s="1"/>
  <c r="T17" i="5" s="1"/>
  <c r="U17" i="5" s="1"/>
  <c r="V17" i="5" s="1"/>
  <c r="W17" i="5" s="1"/>
  <c r="X17" i="5" s="1"/>
  <c r="Y17" i="5" s="1"/>
  <c r="H50" i="17"/>
  <c r="F70" i="17"/>
  <c r="E116" i="17"/>
  <c r="K4" i="17"/>
  <c r="G10" i="4"/>
  <c r="H11" i="5"/>
  <c r="H11" i="7"/>
  <c r="G73" i="17"/>
  <c r="I232" i="17"/>
  <c r="F98" i="17"/>
  <c r="F100" i="17" s="1"/>
  <c r="F102" i="17" s="1"/>
  <c r="F67" i="17"/>
  <c r="E113" i="17"/>
  <c r="G62" i="17"/>
  <c r="H62" i="17" s="1"/>
  <c r="I62" i="17" s="1"/>
  <c r="J62" i="17" s="1"/>
  <c r="K62" i="17" s="1"/>
  <c r="L62" i="17" s="1"/>
  <c r="M62" i="17" s="1"/>
  <c r="N62" i="17" s="1"/>
  <c r="O62" i="17" s="1"/>
  <c r="P62" i="17" s="1"/>
  <c r="Q62" i="17" s="1"/>
  <c r="R62" i="17" s="1"/>
  <c r="S62" i="17" s="1"/>
  <c r="T62" i="17" s="1"/>
  <c r="U62" i="17" s="1"/>
  <c r="V62" i="17" s="1"/>
  <c r="W62" i="17" s="1"/>
  <c r="X62" i="17" s="1"/>
  <c r="Y62" i="17" s="1"/>
  <c r="Z62" i="17" s="1"/>
  <c r="AA62" i="17" s="1"/>
  <c r="AB62" i="17" s="1"/>
  <c r="F108" i="17"/>
  <c r="G108" i="17" s="1"/>
  <c r="H108" i="17" s="1"/>
  <c r="I108" i="17" s="1"/>
  <c r="J108" i="17" s="1"/>
  <c r="K108" i="17" s="1"/>
  <c r="L108" i="17" s="1"/>
  <c r="M108" i="17" s="1"/>
  <c r="N108" i="17" s="1"/>
  <c r="O108" i="17" s="1"/>
  <c r="P108" i="17" s="1"/>
  <c r="Q108" i="17" s="1"/>
  <c r="R108" i="17" s="1"/>
  <c r="S108" i="17" s="1"/>
  <c r="T108" i="17" s="1"/>
  <c r="U108" i="17" s="1"/>
  <c r="V108" i="17" s="1"/>
  <c r="W108" i="17" s="1"/>
  <c r="X108" i="17" s="1"/>
  <c r="Y108" i="17" s="1"/>
  <c r="Z108" i="17" s="1"/>
  <c r="AA108" i="17" s="1"/>
  <c r="AB108" i="17" s="1"/>
  <c r="F66" i="17"/>
  <c r="E47" i="17"/>
  <c r="E61" i="17" s="1"/>
  <c r="E107" i="17" s="1"/>
  <c r="G6" i="17"/>
  <c r="G52" i="17" s="1"/>
  <c r="F99" i="17"/>
  <c r="F101" i="17" s="1"/>
  <c r="F53" i="17"/>
  <c r="F55" i="17" s="1"/>
  <c r="G91" i="17"/>
  <c r="G24" i="5"/>
  <c r="H24" i="5" s="1"/>
  <c r="I24" i="5" s="1"/>
  <c r="J24" i="5" s="1"/>
  <c r="K24" i="5" s="1"/>
  <c r="L24" i="5" s="1"/>
  <c r="M24" i="5" s="1"/>
  <c r="N24" i="5" s="1"/>
  <c r="O24" i="5" s="1"/>
  <c r="P24" i="5" s="1"/>
  <c r="Q24" i="5" s="1"/>
  <c r="R24" i="5" s="1"/>
  <c r="S24" i="5" s="1"/>
  <c r="T24" i="5" s="1"/>
  <c r="U24" i="5" s="1"/>
  <c r="V24" i="5" s="1"/>
  <c r="W24" i="5" s="1"/>
  <c r="X24" i="5" s="1"/>
  <c r="Y24" i="5" s="1"/>
  <c r="I254" i="17"/>
  <c r="F69" i="17"/>
  <c r="E115" i="17"/>
  <c r="E103" i="17"/>
  <c r="E104" i="17" s="1"/>
  <c r="F63" i="17"/>
  <c r="E109" i="17"/>
  <c r="H88" i="17"/>
  <c r="N96" i="17"/>
  <c r="G93" i="17"/>
  <c r="H93" i="17" s="1"/>
  <c r="I93" i="17" s="1"/>
  <c r="J93" i="17" s="1"/>
  <c r="K93" i="17" s="1"/>
  <c r="L93" i="17" s="1"/>
  <c r="M93" i="17" s="1"/>
  <c r="N93" i="17" s="1"/>
  <c r="O93" i="17" s="1"/>
  <c r="P93" i="17" s="1"/>
  <c r="Q93" i="17" s="1"/>
  <c r="R93" i="17" s="1"/>
  <c r="H48" i="17"/>
  <c r="I48" i="17" s="1"/>
  <c r="J48" i="17" s="1"/>
  <c r="K48" i="17" s="1"/>
  <c r="L48" i="17" s="1"/>
  <c r="M48" i="17" s="1"/>
  <c r="N48" i="17" s="1"/>
  <c r="O48" i="17" s="1"/>
  <c r="P48" i="17" s="1"/>
  <c r="Q48" i="17" s="1"/>
  <c r="R48" i="17" s="1"/>
  <c r="E57" i="17"/>
  <c r="E58" i="17" s="1"/>
  <c r="E68" i="17" s="1"/>
  <c r="E114" i="17" s="1"/>
  <c r="G65" i="17"/>
  <c r="H65" i="17" s="1"/>
  <c r="I65" i="17" s="1"/>
  <c r="J65" i="17" s="1"/>
  <c r="K65" i="17" s="1"/>
  <c r="L65" i="17" s="1"/>
  <c r="M65" i="17" s="1"/>
  <c r="N65" i="17" s="1"/>
  <c r="O65" i="17" s="1"/>
  <c r="P65" i="17" s="1"/>
  <c r="Q65" i="17" s="1"/>
  <c r="R65" i="17" s="1"/>
  <c r="S65" i="17" s="1"/>
  <c r="T65" i="17" s="1"/>
  <c r="U65" i="17" s="1"/>
  <c r="V65" i="17" s="1"/>
  <c r="W65" i="17" s="1"/>
  <c r="X65" i="17" s="1"/>
  <c r="Y65" i="17" s="1"/>
  <c r="Z65" i="17" s="1"/>
  <c r="AA65" i="17" s="1"/>
  <c r="AB65" i="17" s="1"/>
  <c r="F111" i="17"/>
  <c r="G111" i="17" s="1"/>
  <c r="H111" i="17" s="1"/>
  <c r="I111" i="17" s="1"/>
  <c r="J111" i="17" s="1"/>
  <c r="K111" i="17" s="1"/>
  <c r="L111" i="17" s="1"/>
  <c r="M111" i="17" s="1"/>
  <c r="N111" i="17" s="1"/>
  <c r="O111" i="17" s="1"/>
  <c r="P111" i="17" s="1"/>
  <c r="Q111" i="17" s="1"/>
  <c r="R111" i="17" s="1"/>
  <c r="S111" i="17" s="1"/>
  <c r="T111" i="17" s="1"/>
  <c r="U111" i="17" s="1"/>
  <c r="V111" i="17" s="1"/>
  <c r="W111" i="17" s="1"/>
  <c r="X111" i="17" s="1"/>
  <c r="Y111" i="17" s="1"/>
  <c r="Z111" i="17" s="1"/>
  <c r="AA111" i="17" s="1"/>
  <c r="AB111" i="17" s="1"/>
  <c r="D75" i="17" l="1"/>
  <c r="F90" i="17"/>
  <c r="D206" i="17"/>
  <c r="D241" i="17" s="1"/>
  <c r="D244" i="17" s="1"/>
  <c r="D186" i="17"/>
  <c r="D240" i="17" s="1"/>
  <c r="D243" i="17" s="1"/>
  <c r="D189" i="17"/>
  <c r="H91" i="17"/>
  <c r="I91" i="17" s="1"/>
  <c r="G90" i="17"/>
  <c r="D123" i="17"/>
  <c r="D126" i="17"/>
  <c r="D128" i="17" s="1"/>
  <c r="G92" i="17"/>
  <c r="J193" i="17"/>
  <c r="G54" i="17"/>
  <c r="G56" i="17" s="1"/>
  <c r="AA17" i="5"/>
  <c r="E90" i="17"/>
  <c r="E161" i="17" s="1"/>
  <c r="E162" i="17" s="1"/>
  <c r="E164" i="17" s="1"/>
  <c r="E46" i="17"/>
  <c r="E89" i="17" s="1"/>
  <c r="J213" i="17"/>
  <c r="H73" i="17"/>
  <c r="I73" i="17" s="1"/>
  <c r="J73" i="17" s="1"/>
  <c r="K73" i="17" s="1"/>
  <c r="L73" i="17" s="1"/>
  <c r="M73" i="17" s="1"/>
  <c r="N73" i="17" s="1"/>
  <c r="O73" i="17" s="1"/>
  <c r="P73" i="17" s="1"/>
  <c r="Q73" i="17" s="1"/>
  <c r="R73" i="17" s="1"/>
  <c r="S73" i="17" s="1"/>
  <c r="T73" i="17" s="1"/>
  <c r="U73" i="17" s="1"/>
  <c r="V73" i="17" s="1"/>
  <c r="W73" i="17" s="1"/>
  <c r="X73" i="17" s="1"/>
  <c r="Y73" i="17" s="1"/>
  <c r="Z73" i="17" s="1"/>
  <c r="AA73" i="17" s="1"/>
  <c r="AB73" i="17" s="1"/>
  <c r="G119" i="17"/>
  <c r="H119" i="17" s="1"/>
  <c r="I119" i="17" s="1"/>
  <c r="J119" i="17" s="1"/>
  <c r="K119" i="17" s="1"/>
  <c r="L119" i="17" s="1"/>
  <c r="M119" i="17" s="1"/>
  <c r="N119" i="17" s="1"/>
  <c r="O119" i="17" s="1"/>
  <c r="P119" i="17" s="1"/>
  <c r="Q119" i="17" s="1"/>
  <c r="R119" i="17" s="1"/>
  <c r="S119" i="17" s="1"/>
  <c r="T119" i="17" s="1"/>
  <c r="U119" i="17" s="1"/>
  <c r="V119" i="17" s="1"/>
  <c r="W119" i="17" s="1"/>
  <c r="X119" i="17" s="1"/>
  <c r="Y119" i="17" s="1"/>
  <c r="Z119" i="17" s="1"/>
  <c r="AA119" i="17" s="1"/>
  <c r="AB119" i="17" s="1"/>
  <c r="I50" i="17"/>
  <c r="F136" i="17"/>
  <c r="G66" i="17"/>
  <c r="F112" i="17"/>
  <c r="G67" i="17"/>
  <c r="F113" i="17"/>
  <c r="L4" i="17"/>
  <c r="H10" i="4"/>
  <c r="I11" i="5"/>
  <c r="I11" i="7"/>
  <c r="G53" i="17"/>
  <c r="G55" i="17" s="1"/>
  <c r="H6" i="17"/>
  <c r="H52" i="17" s="1"/>
  <c r="G98" i="17"/>
  <c r="G99" i="17"/>
  <c r="G101" i="17" s="1"/>
  <c r="J232" i="17"/>
  <c r="G70" i="17"/>
  <c r="H70" i="17" s="1"/>
  <c r="I70" i="17" s="1"/>
  <c r="J70" i="17" s="1"/>
  <c r="K70" i="17" s="1"/>
  <c r="L70" i="17" s="1"/>
  <c r="M70" i="17" s="1"/>
  <c r="N70" i="17" s="1"/>
  <c r="O70" i="17" s="1"/>
  <c r="P70" i="17" s="1"/>
  <c r="Q70" i="17" s="1"/>
  <c r="R70" i="17" s="1"/>
  <c r="S70" i="17" s="1"/>
  <c r="T70" i="17" s="1"/>
  <c r="U70" i="17" s="1"/>
  <c r="V70" i="17" s="1"/>
  <c r="W70" i="17" s="1"/>
  <c r="X70" i="17" s="1"/>
  <c r="Y70" i="17" s="1"/>
  <c r="Z70" i="17" s="1"/>
  <c r="AA70" i="17" s="1"/>
  <c r="AB70" i="17" s="1"/>
  <c r="F116" i="17"/>
  <c r="G116" i="17" s="1"/>
  <c r="H116" i="17" s="1"/>
  <c r="I116" i="17" s="1"/>
  <c r="J116" i="17" s="1"/>
  <c r="K116" i="17" s="1"/>
  <c r="L116" i="17" s="1"/>
  <c r="M116" i="17" s="1"/>
  <c r="N116" i="17" s="1"/>
  <c r="O116" i="17" s="1"/>
  <c r="P116" i="17" s="1"/>
  <c r="Q116" i="17" s="1"/>
  <c r="R116" i="17" s="1"/>
  <c r="S116" i="17" s="1"/>
  <c r="T116" i="17" s="1"/>
  <c r="U116" i="17" s="1"/>
  <c r="V116" i="17" s="1"/>
  <c r="W116" i="17" s="1"/>
  <c r="X116" i="17" s="1"/>
  <c r="Y116" i="17" s="1"/>
  <c r="Z116" i="17" s="1"/>
  <c r="AA116" i="17" s="1"/>
  <c r="AB116" i="17" s="1"/>
  <c r="AA24" i="5"/>
  <c r="I88" i="17"/>
  <c r="H90" i="17"/>
  <c r="G63" i="17"/>
  <c r="H63" i="17" s="1"/>
  <c r="I63" i="17" s="1"/>
  <c r="J63" i="17" s="1"/>
  <c r="K63" i="17" s="1"/>
  <c r="L63" i="17" s="1"/>
  <c r="M63" i="17" s="1"/>
  <c r="N63" i="17" s="1"/>
  <c r="O63" i="17" s="1"/>
  <c r="P63" i="17" s="1"/>
  <c r="Q63" i="17" s="1"/>
  <c r="R63" i="17" s="1"/>
  <c r="S63" i="17" s="1"/>
  <c r="T63" i="17" s="1"/>
  <c r="U63" i="17" s="1"/>
  <c r="V63" i="17" s="1"/>
  <c r="W63" i="17" s="1"/>
  <c r="X63" i="17" s="1"/>
  <c r="Y63" i="17" s="1"/>
  <c r="Z63" i="17" s="1"/>
  <c r="AA63" i="17" s="1"/>
  <c r="AB63" i="17" s="1"/>
  <c r="F109" i="17"/>
  <c r="G109" i="17" s="1"/>
  <c r="H109" i="17" s="1"/>
  <c r="I109" i="17" s="1"/>
  <c r="J109" i="17" s="1"/>
  <c r="K109" i="17" s="1"/>
  <c r="L109" i="17" s="1"/>
  <c r="M109" i="17" s="1"/>
  <c r="N109" i="17" s="1"/>
  <c r="O109" i="17" s="1"/>
  <c r="P109" i="17" s="1"/>
  <c r="Q109" i="17" s="1"/>
  <c r="R109" i="17" s="1"/>
  <c r="S109" i="17" s="1"/>
  <c r="T109" i="17" s="1"/>
  <c r="U109" i="17" s="1"/>
  <c r="V109" i="17" s="1"/>
  <c r="W109" i="17" s="1"/>
  <c r="X109" i="17" s="1"/>
  <c r="Y109" i="17" s="1"/>
  <c r="Z109" i="17" s="1"/>
  <c r="AA109" i="17" s="1"/>
  <c r="AB109" i="17" s="1"/>
  <c r="H47" i="17"/>
  <c r="O96" i="17"/>
  <c r="F103" i="17"/>
  <c r="F104" i="17" s="1"/>
  <c r="G69" i="17"/>
  <c r="H69" i="17" s="1"/>
  <c r="I69" i="17" s="1"/>
  <c r="J69" i="17" s="1"/>
  <c r="K69" i="17" s="1"/>
  <c r="L69" i="17" s="1"/>
  <c r="M69" i="17" s="1"/>
  <c r="N69" i="17" s="1"/>
  <c r="O69" i="17" s="1"/>
  <c r="P69" i="17" s="1"/>
  <c r="Q69" i="17" s="1"/>
  <c r="R69" i="17" s="1"/>
  <c r="S69" i="17" s="1"/>
  <c r="T69" i="17" s="1"/>
  <c r="U69" i="17" s="1"/>
  <c r="V69" i="17" s="1"/>
  <c r="W69" i="17" s="1"/>
  <c r="X69" i="17" s="1"/>
  <c r="Y69" i="17" s="1"/>
  <c r="Z69" i="17" s="1"/>
  <c r="AA69" i="17" s="1"/>
  <c r="AB69" i="17" s="1"/>
  <c r="F115" i="17"/>
  <c r="G115" i="17" s="1"/>
  <c r="H115" i="17" s="1"/>
  <c r="I115" i="17" s="1"/>
  <c r="J115" i="17" s="1"/>
  <c r="K115" i="17" s="1"/>
  <c r="L115" i="17" s="1"/>
  <c r="M115" i="17" s="1"/>
  <c r="N115" i="17" s="1"/>
  <c r="O115" i="17" s="1"/>
  <c r="P115" i="17" s="1"/>
  <c r="Q115" i="17" s="1"/>
  <c r="R115" i="17" s="1"/>
  <c r="S115" i="17" s="1"/>
  <c r="T115" i="17" s="1"/>
  <c r="U115" i="17" s="1"/>
  <c r="V115" i="17" s="1"/>
  <c r="W115" i="17" s="1"/>
  <c r="X115" i="17" s="1"/>
  <c r="Y115" i="17" s="1"/>
  <c r="Z115" i="17" s="1"/>
  <c r="AA115" i="17" s="1"/>
  <c r="AB115" i="17" s="1"/>
  <c r="E74" i="17"/>
  <c r="E120" i="17"/>
  <c r="E123" i="17" s="1"/>
  <c r="F61" i="17"/>
  <c r="K245" i="17"/>
  <c r="J254" i="17"/>
  <c r="J45" i="17"/>
  <c r="I47" i="17"/>
  <c r="F57" i="17"/>
  <c r="F58" i="17" s="1"/>
  <c r="F68" i="17" s="1"/>
  <c r="F114" i="17" s="1"/>
  <c r="D27" i="4" l="1"/>
  <c r="K232" i="17"/>
  <c r="D253" i="17"/>
  <c r="D194" i="17"/>
  <c r="D214" i="17"/>
  <c r="H92" i="17"/>
  <c r="D252" i="17"/>
  <c r="K213" i="17"/>
  <c r="E163" i="17"/>
  <c r="E184" i="17" s="1"/>
  <c r="E188" i="17" s="1"/>
  <c r="F161" i="17"/>
  <c r="H54" i="17"/>
  <c r="H56" i="17" s="1"/>
  <c r="M4" i="17"/>
  <c r="J11" i="7"/>
  <c r="I10" i="4"/>
  <c r="J11" i="5"/>
  <c r="G136" i="17"/>
  <c r="G138" i="17" s="1"/>
  <c r="G139" i="17" s="1"/>
  <c r="G143" i="17" s="1"/>
  <c r="J50" i="17"/>
  <c r="F138" i="17"/>
  <c r="F139" i="17" s="1"/>
  <c r="F143" i="17" s="1"/>
  <c r="G100" i="17"/>
  <c r="G102" i="17" s="1"/>
  <c r="H67" i="17"/>
  <c r="I67" i="17" s="1"/>
  <c r="J67" i="17" s="1"/>
  <c r="K67" i="17" s="1"/>
  <c r="L67" i="17" s="1"/>
  <c r="M67" i="17" s="1"/>
  <c r="N67" i="17" s="1"/>
  <c r="O67" i="17" s="1"/>
  <c r="P67" i="17" s="1"/>
  <c r="Q67" i="17" s="1"/>
  <c r="R67" i="17" s="1"/>
  <c r="S67" i="17" s="1"/>
  <c r="T67" i="17" s="1"/>
  <c r="U67" i="17" s="1"/>
  <c r="V67" i="17" s="1"/>
  <c r="W67" i="17" s="1"/>
  <c r="X67" i="17" s="1"/>
  <c r="Y67" i="17" s="1"/>
  <c r="Z67" i="17" s="1"/>
  <c r="AA67" i="17" s="1"/>
  <c r="AB67" i="17" s="1"/>
  <c r="G113" i="17"/>
  <c r="H113" i="17" s="1"/>
  <c r="I113" i="17" s="1"/>
  <c r="J113" i="17" s="1"/>
  <c r="K113" i="17" s="1"/>
  <c r="L113" i="17" s="1"/>
  <c r="M113" i="17" s="1"/>
  <c r="N113" i="17" s="1"/>
  <c r="O113" i="17" s="1"/>
  <c r="P113" i="17" s="1"/>
  <c r="Q113" i="17" s="1"/>
  <c r="R113" i="17" s="1"/>
  <c r="S113" i="17" s="1"/>
  <c r="T113" i="17" s="1"/>
  <c r="U113" i="17" s="1"/>
  <c r="V113" i="17" s="1"/>
  <c r="W113" i="17" s="1"/>
  <c r="X113" i="17" s="1"/>
  <c r="Y113" i="17" s="1"/>
  <c r="Z113" i="17" s="1"/>
  <c r="AA113" i="17" s="1"/>
  <c r="AB113" i="17" s="1"/>
  <c r="H66" i="17"/>
  <c r="I66" i="17" s="1"/>
  <c r="J66" i="17" s="1"/>
  <c r="K66" i="17" s="1"/>
  <c r="L66" i="17" s="1"/>
  <c r="M66" i="17" s="1"/>
  <c r="N66" i="17" s="1"/>
  <c r="O66" i="17" s="1"/>
  <c r="P66" i="17" s="1"/>
  <c r="Q66" i="17" s="1"/>
  <c r="R66" i="17" s="1"/>
  <c r="S66" i="17" s="1"/>
  <c r="T66" i="17" s="1"/>
  <c r="U66" i="17" s="1"/>
  <c r="V66" i="17" s="1"/>
  <c r="W66" i="17" s="1"/>
  <c r="X66" i="17" s="1"/>
  <c r="Y66" i="17" s="1"/>
  <c r="Z66" i="17" s="1"/>
  <c r="AA66" i="17" s="1"/>
  <c r="AB66" i="17" s="1"/>
  <c r="G112" i="17"/>
  <c r="H112" i="17" s="1"/>
  <c r="I112" i="17" s="1"/>
  <c r="J112" i="17" s="1"/>
  <c r="K112" i="17" s="1"/>
  <c r="L112" i="17" s="1"/>
  <c r="M112" i="17" s="1"/>
  <c r="N112" i="17" s="1"/>
  <c r="O112" i="17" s="1"/>
  <c r="P112" i="17" s="1"/>
  <c r="Q112" i="17" s="1"/>
  <c r="R112" i="17" s="1"/>
  <c r="S112" i="17" s="1"/>
  <c r="T112" i="17" s="1"/>
  <c r="U112" i="17" s="1"/>
  <c r="V112" i="17" s="1"/>
  <c r="W112" i="17" s="1"/>
  <c r="X112" i="17" s="1"/>
  <c r="Y112" i="17" s="1"/>
  <c r="Z112" i="17" s="1"/>
  <c r="AA112" i="17" s="1"/>
  <c r="AB112" i="17" s="1"/>
  <c r="H53" i="17"/>
  <c r="H55" i="17" s="1"/>
  <c r="H98" i="17"/>
  <c r="I6" i="17"/>
  <c r="H99" i="17"/>
  <c r="H101" i="17" s="1"/>
  <c r="K193" i="17"/>
  <c r="I46" i="17"/>
  <c r="K45" i="17"/>
  <c r="J91" i="17"/>
  <c r="J47" i="17"/>
  <c r="E126" i="17"/>
  <c r="E128" i="17" s="1"/>
  <c r="E121" i="17"/>
  <c r="F74" i="17"/>
  <c r="F107" i="17"/>
  <c r="G61" i="17"/>
  <c r="E75" i="17"/>
  <c r="E77" i="17"/>
  <c r="H89" i="17"/>
  <c r="G103" i="17"/>
  <c r="G57" i="17"/>
  <c r="G58" i="17" s="1"/>
  <c r="G68" i="17" s="1"/>
  <c r="L245" i="17"/>
  <c r="P96" i="17"/>
  <c r="D242" i="17"/>
  <c r="D246" i="17" s="1"/>
  <c r="H46" i="17"/>
  <c r="E224" i="17"/>
  <c r="E228" i="17" s="1"/>
  <c r="E185" i="17"/>
  <c r="E189" i="17" s="1"/>
  <c r="E205" i="17"/>
  <c r="E209" i="17" s="1"/>
  <c r="K254" i="17"/>
  <c r="I90" i="17"/>
  <c r="I92" i="17"/>
  <c r="J88" i="17"/>
  <c r="E27" i="4" l="1"/>
  <c r="F15" i="5" s="1"/>
  <c r="D251" i="17"/>
  <c r="D255" i="17" s="1"/>
  <c r="E223" i="17"/>
  <c r="E204" i="17"/>
  <c r="G161" i="17"/>
  <c r="F162" i="17"/>
  <c r="F164" i="17" s="1"/>
  <c r="F163" i="17"/>
  <c r="L193" i="17"/>
  <c r="G74" i="17"/>
  <c r="G77" i="17" s="1"/>
  <c r="H136" i="17"/>
  <c r="H138" i="17" s="1"/>
  <c r="H139" i="17" s="1"/>
  <c r="H143" i="17" s="1"/>
  <c r="I53" i="17"/>
  <c r="I55" i="17" s="1"/>
  <c r="J6" i="17"/>
  <c r="J52" i="17" s="1"/>
  <c r="I99" i="17"/>
  <c r="I101" i="17" s="1"/>
  <c r="I98" i="17"/>
  <c r="E15" i="5"/>
  <c r="E15" i="7"/>
  <c r="E16" i="7" s="1"/>
  <c r="H100" i="17"/>
  <c r="H102" i="17" s="1"/>
  <c r="N4" i="17"/>
  <c r="J10" i="4"/>
  <c r="K11" i="7"/>
  <c r="K11" i="5"/>
  <c r="E186" i="17"/>
  <c r="E194" i="17" s="1"/>
  <c r="E146" i="17" s="1"/>
  <c r="L213" i="17"/>
  <c r="K50" i="17"/>
  <c r="G104" i="17"/>
  <c r="G114" i="17" s="1"/>
  <c r="I52" i="17"/>
  <c r="L232" i="17"/>
  <c r="G27" i="5"/>
  <c r="H27" i="5" s="1"/>
  <c r="I27" i="5" s="1"/>
  <c r="J27" i="5" s="1"/>
  <c r="K27" i="5" s="1"/>
  <c r="L27" i="5" s="1"/>
  <c r="M27" i="5" s="1"/>
  <c r="N27" i="5" s="1"/>
  <c r="O27" i="5" s="1"/>
  <c r="P27" i="5" s="1"/>
  <c r="Q27" i="5" s="1"/>
  <c r="R27" i="5" s="1"/>
  <c r="S27" i="5" s="1"/>
  <c r="T27" i="5" s="1"/>
  <c r="U27" i="5" s="1"/>
  <c r="V27" i="5" s="1"/>
  <c r="W27" i="5" s="1"/>
  <c r="X27" i="5" s="1"/>
  <c r="Y27" i="5" s="1"/>
  <c r="Q96" i="17"/>
  <c r="L254" i="17"/>
  <c r="K47" i="17"/>
  <c r="L45" i="17"/>
  <c r="K91" i="17"/>
  <c r="J90" i="17"/>
  <c r="J92" i="17"/>
  <c r="K88" i="17"/>
  <c r="F120" i="17"/>
  <c r="G107" i="17"/>
  <c r="M245" i="17"/>
  <c r="H57" i="17"/>
  <c r="H58" i="17" s="1"/>
  <c r="H68" i="17" s="1"/>
  <c r="E144" i="17"/>
  <c r="H103" i="17"/>
  <c r="J46" i="17"/>
  <c r="F75" i="17"/>
  <c r="F77" i="17"/>
  <c r="I89" i="17"/>
  <c r="H61" i="17"/>
  <c r="F23" i="5" s="1"/>
  <c r="E29" i="5"/>
  <c r="F27" i="4" l="1"/>
  <c r="G15" i="5" s="1"/>
  <c r="E225" i="17"/>
  <c r="E233" i="17" s="1"/>
  <c r="E148" i="17" s="1"/>
  <c r="E227" i="17"/>
  <c r="E206" i="17"/>
  <c r="E241" i="17" s="1"/>
  <c r="E244" i="17" s="1"/>
  <c r="E208" i="17"/>
  <c r="G75" i="17"/>
  <c r="M193" i="17"/>
  <c r="F204" i="17"/>
  <c r="F208" i="17" s="1"/>
  <c r="F184" i="17"/>
  <c r="F188" i="17" s="1"/>
  <c r="F223" i="17"/>
  <c r="F227" i="17" s="1"/>
  <c r="F224" i="17"/>
  <c r="F228" i="17" s="1"/>
  <c r="F185" i="17"/>
  <c r="F189" i="17" s="1"/>
  <c r="F205" i="17"/>
  <c r="F209" i="17" s="1"/>
  <c r="G163" i="17"/>
  <c r="H161" i="17"/>
  <c r="G162" i="17"/>
  <c r="G164" i="17" s="1"/>
  <c r="M232" i="17"/>
  <c r="H104" i="17"/>
  <c r="H114" i="17" s="1"/>
  <c r="M213" i="17"/>
  <c r="E16" i="5"/>
  <c r="I136" i="17"/>
  <c r="I54" i="17"/>
  <c r="I56" i="17" s="1"/>
  <c r="I100" i="17"/>
  <c r="I102" i="17" s="1"/>
  <c r="E240" i="17"/>
  <c r="E252" i="17" s="1"/>
  <c r="O4" i="17"/>
  <c r="L11" i="7"/>
  <c r="K10" i="4"/>
  <c r="L11" i="5"/>
  <c r="J98" i="17"/>
  <c r="K6" i="17"/>
  <c r="K52" i="17" s="1"/>
  <c r="J99" i="17"/>
  <c r="J101" i="17" s="1"/>
  <c r="J53" i="17"/>
  <c r="J55" i="17" s="1"/>
  <c r="L50" i="17"/>
  <c r="AA27" i="5"/>
  <c r="M45" i="17"/>
  <c r="L47" i="17"/>
  <c r="L91" i="17"/>
  <c r="K46" i="17"/>
  <c r="G120" i="17"/>
  <c r="H107" i="17"/>
  <c r="L88" i="17"/>
  <c r="K90" i="17"/>
  <c r="K92" i="17"/>
  <c r="I103" i="17"/>
  <c r="R96" i="17"/>
  <c r="E156" i="17"/>
  <c r="F121" i="17"/>
  <c r="F126" i="17"/>
  <c r="F128" i="17" s="1"/>
  <c r="F123" i="17"/>
  <c r="I57" i="17"/>
  <c r="N245" i="17"/>
  <c r="J89" i="17"/>
  <c r="H74" i="17"/>
  <c r="I61" i="17"/>
  <c r="G23" i="5" s="1"/>
  <c r="M254" i="17"/>
  <c r="G27" i="4" l="1"/>
  <c r="H15" i="5" s="1"/>
  <c r="H16" i="5" s="1"/>
  <c r="E253" i="17"/>
  <c r="E251" i="17" s="1"/>
  <c r="E255" i="17" s="1"/>
  <c r="E150" i="17" s="1"/>
  <c r="E214" i="17"/>
  <c r="E147" i="17" s="1"/>
  <c r="E243" i="17"/>
  <c r="E242" i="17" s="1"/>
  <c r="E246" i="17" s="1"/>
  <c r="E149" i="17" s="1"/>
  <c r="N193" i="17"/>
  <c r="F144" i="17"/>
  <c r="F156" i="17" s="1"/>
  <c r="I58" i="17"/>
  <c r="I68" i="17" s="1"/>
  <c r="I74" i="17" s="1"/>
  <c r="N213" i="17"/>
  <c r="H120" i="17"/>
  <c r="H123" i="17" s="1"/>
  <c r="C3" i="20" s="1"/>
  <c r="F225" i="17"/>
  <c r="F233" i="17" s="1"/>
  <c r="F148" i="17" s="1"/>
  <c r="F186" i="17"/>
  <c r="G223" i="17"/>
  <c r="G227" i="17" s="1"/>
  <c r="G184" i="17"/>
  <c r="G188" i="17" s="1"/>
  <c r="G204" i="17"/>
  <c r="G208" i="17" s="1"/>
  <c r="G205" i="17"/>
  <c r="G209" i="17" s="1"/>
  <c r="G185" i="17"/>
  <c r="G189" i="17" s="1"/>
  <c r="G224" i="17"/>
  <c r="G228" i="17" s="1"/>
  <c r="F206" i="17"/>
  <c r="H163" i="17"/>
  <c r="I161" i="17"/>
  <c r="I104" i="17"/>
  <c r="I114" i="17" s="1"/>
  <c r="J100" i="17"/>
  <c r="J102" i="17" s="1"/>
  <c r="M50" i="17"/>
  <c r="P4" i="17"/>
  <c r="M11" i="5"/>
  <c r="M11" i="7"/>
  <c r="L10" i="4"/>
  <c r="N232" i="17"/>
  <c r="I138" i="17"/>
  <c r="I139" i="17" s="1"/>
  <c r="I143" i="17" s="1"/>
  <c r="J136" i="17"/>
  <c r="L6" i="17"/>
  <c r="L52" i="17" s="1"/>
  <c r="K98" i="17"/>
  <c r="K53" i="17"/>
  <c r="K55" i="17" s="1"/>
  <c r="K99" i="17"/>
  <c r="K101" i="17" s="1"/>
  <c r="J54" i="17"/>
  <c r="J56" i="17" s="1"/>
  <c r="L46" i="17"/>
  <c r="J61" i="17"/>
  <c r="H23" i="5" s="1"/>
  <c r="G121" i="17"/>
  <c r="G144" i="17" s="1"/>
  <c r="G123" i="17"/>
  <c r="G126" i="17"/>
  <c r="G128" i="17" s="1"/>
  <c r="N254" i="17"/>
  <c r="H77" i="17"/>
  <c r="H75" i="17"/>
  <c r="O245" i="17"/>
  <c r="K89" i="17"/>
  <c r="J103" i="17"/>
  <c r="J57" i="17"/>
  <c r="S96" i="17"/>
  <c r="M88" i="17"/>
  <c r="L90" i="17"/>
  <c r="L92" i="17"/>
  <c r="M47" i="17"/>
  <c r="M91" i="17"/>
  <c r="N45" i="17"/>
  <c r="H162" i="17"/>
  <c r="H164" i="17" s="1"/>
  <c r="I107" i="17"/>
  <c r="G59" i="8"/>
  <c r="G28" i="10"/>
  <c r="G8" i="8"/>
  <c r="G9" i="8" s="1"/>
  <c r="G13" i="8" s="1"/>
  <c r="G14" i="8" s="1"/>
  <c r="G15" i="8" s="1"/>
  <c r="G16" i="8" s="1"/>
  <c r="G53" i="8"/>
  <c r="G54" i="8" s="1"/>
  <c r="J53" i="8"/>
  <c r="J54" i="8"/>
  <c r="B59" i="8"/>
  <c r="B60" i="8"/>
  <c r="B61" i="8"/>
  <c r="B58" i="8"/>
  <c r="B53" i="8"/>
  <c r="B54" i="8"/>
  <c r="B55" i="8"/>
  <c r="B52" i="8"/>
  <c r="H27" i="4" l="1"/>
  <c r="I15" i="5" s="1"/>
  <c r="O213" i="17"/>
  <c r="J58" i="17"/>
  <c r="J68" i="17" s="1"/>
  <c r="J74" i="17" s="1"/>
  <c r="O232" i="17"/>
  <c r="G225" i="17"/>
  <c r="G233" i="17" s="1"/>
  <c r="G148" i="17" s="1"/>
  <c r="G206" i="17"/>
  <c r="K54" i="17"/>
  <c r="K56" i="17" s="1"/>
  <c r="I163" i="17"/>
  <c r="J161" i="17"/>
  <c r="H223" i="17"/>
  <c r="H227" i="17" s="1"/>
  <c r="H204" i="17"/>
  <c r="H208" i="17" s="1"/>
  <c r="H184" i="17"/>
  <c r="H188" i="17" s="1"/>
  <c r="F194" i="17"/>
  <c r="F146" i="17" s="1"/>
  <c r="F240" i="17"/>
  <c r="G186" i="17"/>
  <c r="F214" i="17"/>
  <c r="F147" i="17" s="1"/>
  <c r="F241" i="17"/>
  <c r="J104" i="17"/>
  <c r="J114" i="17" s="1"/>
  <c r="K136" i="17"/>
  <c r="K138" i="17" s="1"/>
  <c r="K139" i="17" s="1"/>
  <c r="K143" i="17" s="1"/>
  <c r="K100" i="17"/>
  <c r="K102" i="17" s="1"/>
  <c r="J138" i="17"/>
  <c r="J139" i="17" s="1"/>
  <c r="J143" i="17" s="1"/>
  <c r="N50" i="17"/>
  <c r="M6" i="17"/>
  <c r="L99" i="17"/>
  <c r="L101" i="17" s="1"/>
  <c r="L98" i="17"/>
  <c r="L53" i="17"/>
  <c r="L55" i="17" s="1"/>
  <c r="Q4" i="17"/>
  <c r="N11" i="5"/>
  <c r="N11" i="7"/>
  <c r="M10" i="4"/>
  <c r="O193" i="17"/>
  <c r="N88" i="17"/>
  <c r="M90" i="17"/>
  <c r="M92" i="17"/>
  <c r="M46" i="17"/>
  <c r="T96" i="17"/>
  <c r="K103" i="17"/>
  <c r="K57" i="17"/>
  <c r="N47" i="17"/>
  <c r="N91" i="17"/>
  <c r="O45" i="17"/>
  <c r="I75" i="17"/>
  <c r="I77" i="17"/>
  <c r="K61" i="17"/>
  <c r="I23" i="5" s="1"/>
  <c r="P245" i="17"/>
  <c r="O254" i="17"/>
  <c r="H121" i="17"/>
  <c r="E39" i="4" s="1"/>
  <c r="H126" i="17"/>
  <c r="H128" i="17" s="1"/>
  <c r="G156" i="17"/>
  <c r="E155" i="17"/>
  <c r="I120" i="17"/>
  <c r="I162" i="17"/>
  <c r="I164" i="17" s="1"/>
  <c r="J107" i="17"/>
  <c r="H205" i="17"/>
  <c r="H209" i="17" s="1"/>
  <c r="H185" i="17"/>
  <c r="H189" i="17" s="1"/>
  <c r="H224" i="17"/>
  <c r="H228" i="17" s="1"/>
  <c r="L89" i="17"/>
  <c r="E151" i="17"/>
  <c r="G60" i="8"/>
  <c r="J15" i="8"/>
  <c r="I27" i="4" l="1"/>
  <c r="J15" i="5" s="1"/>
  <c r="K58" i="17"/>
  <c r="K68" i="17" s="1"/>
  <c r="K74" i="17" s="1"/>
  <c r="L54" i="17"/>
  <c r="L56" i="17" s="1"/>
  <c r="F244" i="17"/>
  <c r="F253" i="17"/>
  <c r="J163" i="17"/>
  <c r="K161" i="17"/>
  <c r="I204" i="17"/>
  <c r="I208" i="17" s="1"/>
  <c r="I223" i="17"/>
  <c r="I227" i="17" s="1"/>
  <c r="I184" i="17"/>
  <c r="I188" i="17" s="1"/>
  <c r="H225" i="17"/>
  <c r="H233" i="17" s="1"/>
  <c r="H148" i="17" s="1"/>
  <c r="G240" i="17"/>
  <c r="G194" i="17"/>
  <c r="G146" i="17" s="1"/>
  <c r="H186" i="17"/>
  <c r="H194" i="17" s="1"/>
  <c r="H146" i="17" s="1"/>
  <c r="F252" i="17"/>
  <c r="F243" i="17"/>
  <c r="G241" i="17"/>
  <c r="G214" i="17"/>
  <c r="H206" i="17"/>
  <c r="H214" i="17" s="1"/>
  <c r="K104" i="17"/>
  <c r="K114" i="17" s="1"/>
  <c r="O50" i="17"/>
  <c r="R4" i="17"/>
  <c r="O11" i="5"/>
  <c r="O11" i="7"/>
  <c r="N10" i="4"/>
  <c r="P232" i="17"/>
  <c r="L100" i="17"/>
  <c r="L102" i="17" s="1"/>
  <c r="L136" i="17"/>
  <c r="L138" i="17" s="1"/>
  <c r="L139" i="17" s="1"/>
  <c r="L143" i="17" s="1"/>
  <c r="P193" i="17"/>
  <c r="M99" i="17"/>
  <c r="M98" i="17"/>
  <c r="N6" i="17"/>
  <c r="M53" i="17"/>
  <c r="M55" i="17" s="1"/>
  <c r="M52" i="17"/>
  <c r="P213" i="17"/>
  <c r="E17" i="4"/>
  <c r="F33" i="5" s="1"/>
  <c r="E20" i="4"/>
  <c r="F36" i="7" s="1"/>
  <c r="H144" i="17"/>
  <c r="H156" i="17" s="1"/>
  <c r="F22" i="5"/>
  <c r="L61" i="17"/>
  <c r="J23" i="5" s="1"/>
  <c r="L57" i="17"/>
  <c r="I205" i="17"/>
  <c r="I209" i="17" s="1"/>
  <c r="I224" i="17"/>
  <c r="I228" i="17" s="1"/>
  <c r="I185" i="17"/>
  <c r="I189" i="17" s="1"/>
  <c r="I123" i="17"/>
  <c r="D3" i="20" s="1"/>
  <c r="I121" i="17"/>
  <c r="F39" i="4" s="1"/>
  <c r="I126" i="17"/>
  <c r="I128" i="17" s="1"/>
  <c r="P254" i="17"/>
  <c r="J77" i="17"/>
  <c r="J75" i="17"/>
  <c r="N46" i="17"/>
  <c r="L103" i="17"/>
  <c r="J120" i="17"/>
  <c r="J162" i="17"/>
  <c r="J164" i="17" s="1"/>
  <c r="K107" i="17"/>
  <c r="P45" i="17"/>
  <c r="O47" i="17"/>
  <c r="O91" i="17"/>
  <c r="M89" i="17"/>
  <c r="Q245" i="17"/>
  <c r="U96" i="17"/>
  <c r="N90" i="17"/>
  <c r="N92" i="17"/>
  <c r="O88" i="17"/>
  <c r="M54" i="17" l="1"/>
  <c r="M56" i="17" s="1"/>
  <c r="J27" i="4"/>
  <c r="K15" i="5" s="1"/>
  <c r="Q193" i="17"/>
  <c r="L58" i="17"/>
  <c r="L68" i="17" s="1"/>
  <c r="L74" i="17" s="1"/>
  <c r="F251" i="17"/>
  <c r="F255" i="17" s="1"/>
  <c r="F150" i="17" s="1"/>
  <c r="F155" i="17" s="1"/>
  <c r="F242" i="17"/>
  <c r="F246" i="17" s="1"/>
  <c r="F149" i="17" s="1"/>
  <c r="I186" i="17"/>
  <c r="I194" i="17" s="1"/>
  <c r="I146" i="17" s="1"/>
  <c r="H241" i="17"/>
  <c r="H244" i="17" s="1"/>
  <c r="G212" i="17"/>
  <c r="G147" i="17"/>
  <c r="G253" i="17"/>
  <c r="G244" i="17"/>
  <c r="I225" i="17"/>
  <c r="I233" i="17" s="1"/>
  <c r="I148" i="17" s="1"/>
  <c r="K163" i="17"/>
  <c r="L161" i="17"/>
  <c r="H240" i="17"/>
  <c r="H252" i="17" s="1"/>
  <c r="I206" i="17"/>
  <c r="I241" i="17" s="1"/>
  <c r="J184" i="17"/>
  <c r="J188" i="17" s="1"/>
  <c r="J204" i="17"/>
  <c r="J208" i="17" s="1"/>
  <c r="J223" i="17"/>
  <c r="J227" i="17" s="1"/>
  <c r="G243" i="17"/>
  <c r="G252" i="17"/>
  <c r="M100" i="17"/>
  <c r="M102" i="17" s="1"/>
  <c r="M136" i="17"/>
  <c r="M138" i="17" s="1"/>
  <c r="M139" i="17" s="1"/>
  <c r="M143" i="17" s="1"/>
  <c r="Q213" i="17"/>
  <c r="P50" i="17"/>
  <c r="N53" i="17"/>
  <c r="N55" i="17" s="1"/>
  <c r="O6" i="17"/>
  <c r="N99" i="17"/>
  <c r="N98" i="17"/>
  <c r="S4" i="17"/>
  <c r="O10" i="4"/>
  <c r="P11" i="5"/>
  <c r="P11" i="7"/>
  <c r="L104" i="17"/>
  <c r="L114" i="17" s="1"/>
  <c r="N52" i="17"/>
  <c r="M101" i="17"/>
  <c r="M103" i="17" s="1"/>
  <c r="Q232" i="17"/>
  <c r="F35" i="7"/>
  <c r="I144" i="17"/>
  <c r="I156" i="17" s="1"/>
  <c r="G22" i="5"/>
  <c r="F17" i="4"/>
  <c r="F20" i="4"/>
  <c r="F34" i="5"/>
  <c r="O46" i="17"/>
  <c r="Q45" i="17"/>
  <c r="P47" i="17"/>
  <c r="P91" i="17"/>
  <c r="H147" i="17"/>
  <c r="H212" i="17"/>
  <c r="J121" i="17"/>
  <c r="G39" i="4" s="1"/>
  <c r="J123" i="17"/>
  <c r="E3" i="20" s="1"/>
  <c r="J126" i="17"/>
  <c r="J128" i="17" s="1"/>
  <c r="Q254" i="17"/>
  <c r="V96" i="17"/>
  <c r="M61" i="17"/>
  <c r="K23" i="5" s="1"/>
  <c r="J205" i="17"/>
  <c r="J209" i="17" s="1"/>
  <c r="J224" i="17"/>
  <c r="J228" i="17" s="1"/>
  <c r="J185" i="17"/>
  <c r="J189" i="17" s="1"/>
  <c r="K75" i="17"/>
  <c r="K77" i="17"/>
  <c r="P88" i="17"/>
  <c r="O90" i="17"/>
  <c r="O92" i="17"/>
  <c r="M57" i="17"/>
  <c r="M58" i="17" s="1"/>
  <c r="M68" i="17" s="1"/>
  <c r="K120" i="17"/>
  <c r="K162" i="17"/>
  <c r="K164" i="17" s="1"/>
  <c r="L107" i="17"/>
  <c r="N89" i="17"/>
  <c r="R245" i="17"/>
  <c r="N54" i="17" l="1"/>
  <c r="N56" i="17" s="1"/>
  <c r="R193" i="17"/>
  <c r="K27" i="4"/>
  <c r="L15" i="5" s="1"/>
  <c r="I240" i="17"/>
  <c r="I243" i="17" s="1"/>
  <c r="F151" i="17"/>
  <c r="H243" i="17"/>
  <c r="H242" i="17" s="1"/>
  <c r="H246" i="17" s="1"/>
  <c r="H149" i="17" s="1"/>
  <c r="H253" i="17"/>
  <c r="H251" i="17" s="1"/>
  <c r="H255" i="17" s="1"/>
  <c r="H150" i="17" s="1"/>
  <c r="H155" i="17" s="1"/>
  <c r="M104" i="17"/>
  <c r="M114" i="17" s="1"/>
  <c r="I214" i="17"/>
  <c r="I212" i="17" s="1"/>
  <c r="J186" i="17"/>
  <c r="J194" i="17" s="1"/>
  <c r="J146" i="17" s="1"/>
  <c r="J206" i="17"/>
  <c r="J214" i="17" s="1"/>
  <c r="J225" i="17"/>
  <c r="J233" i="17" s="1"/>
  <c r="J148" i="17" s="1"/>
  <c r="G251" i="17"/>
  <c r="G255" i="17" s="1"/>
  <c r="G150" i="17" s="1"/>
  <c r="G155" i="17" s="1"/>
  <c r="K204" i="17"/>
  <c r="K208" i="17" s="1"/>
  <c r="K223" i="17"/>
  <c r="K227" i="17" s="1"/>
  <c r="K184" i="17"/>
  <c r="K188" i="17" s="1"/>
  <c r="G242" i="17"/>
  <c r="G246" i="17" s="1"/>
  <c r="G149" i="17" s="1"/>
  <c r="L163" i="17"/>
  <c r="M161" i="17"/>
  <c r="N101" i="17"/>
  <c r="N103" i="17" s="1"/>
  <c r="R232" i="17"/>
  <c r="O53" i="17"/>
  <c r="O55" i="17" s="1"/>
  <c r="P6" i="17"/>
  <c r="P52" i="17" s="1"/>
  <c r="O99" i="17"/>
  <c r="O98" i="17"/>
  <c r="R213" i="17"/>
  <c r="O52" i="17"/>
  <c r="T4" i="17"/>
  <c r="P10" i="4"/>
  <c r="Q11" i="5"/>
  <c r="Q11" i="7"/>
  <c r="N100" i="17"/>
  <c r="N102" i="17" s="1"/>
  <c r="Q50" i="17"/>
  <c r="N136" i="17"/>
  <c r="F52" i="7"/>
  <c r="G34" i="5"/>
  <c r="G36" i="7"/>
  <c r="G17" i="4"/>
  <c r="G20" i="4"/>
  <c r="G33" i="5"/>
  <c r="G35" i="7"/>
  <c r="J144" i="17"/>
  <c r="J156" i="17" s="1"/>
  <c r="H22" i="5"/>
  <c r="K27" i="19"/>
  <c r="K28" i="19" s="1"/>
  <c r="K29" i="19" s="1"/>
  <c r="K30" i="19" s="1"/>
  <c r="R45" i="17"/>
  <c r="Q47" i="17"/>
  <c r="Q91" i="17"/>
  <c r="L120" i="17"/>
  <c r="L162" i="17"/>
  <c r="L164" i="17" s="1"/>
  <c r="M107" i="17"/>
  <c r="S245" i="17"/>
  <c r="I252" i="17"/>
  <c r="K121" i="17"/>
  <c r="H39" i="4" s="1"/>
  <c r="K123" i="17"/>
  <c r="F3" i="20" s="1"/>
  <c r="K126" i="17"/>
  <c r="K128" i="17" s="1"/>
  <c r="W96" i="17"/>
  <c r="P46" i="17"/>
  <c r="N57" i="17"/>
  <c r="I244" i="17"/>
  <c r="I253" i="17"/>
  <c r="M74" i="17"/>
  <c r="N61" i="17"/>
  <c r="L23" i="5" s="1"/>
  <c r="O89" i="17"/>
  <c r="Q88" i="17"/>
  <c r="P90" i="17"/>
  <c r="P92" i="17"/>
  <c r="K185" i="17"/>
  <c r="K189" i="17" s="1"/>
  <c r="K224" i="17"/>
  <c r="K228" i="17" s="1"/>
  <c r="K205" i="17"/>
  <c r="L77" i="17"/>
  <c r="L75" i="17"/>
  <c r="R254" i="17"/>
  <c r="F15" i="7"/>
  <c r="F16" i="7" s="1"/>
  <c r="F16" i="5"/>
  <c r="O54" i="17" l="1"/>
  <c r="O56" i="17" s="1"/>
  <c r="N58" i="17"/>
  <c r="N68" i="17" s="1"/>
  <c r="N74" i="17" s="1"/>
  <c r="L27" i="4"/>
  <c r="M15" i="5" s="1"/>
  <c r="J240" i="17"/>
  <c r="J243" i="17" s="1"/>
  <c r="I147" i="17"/>
  <c r="J241" i="17"/>
  <c r="J253" i="17" s="1"/>
  <c r="K206" i="17"/>
  <c r="K214" i="17" s="1"/>
  <c r="K209" i="17"/>
  <c r="O101" i="17"/>
  <c r="O103" i="17" s="1"/>
  <c r="K225" i="17"/>
  <c r="K233" i="17" s="1"/>
  <c r="K148" i="17" s="1"/>
  <c r="K186" i="17"/>
  <c r="K240" i="17" s="1"/>
  <c r="G151" i="17"/>
  <c r="S213" i="17"/>
  <c r="M163" i="17"/>
  <c r="N161" i="17"/>
  <c r="L204" i="17"/>
  <c r="L208" i="17" s="1"/>
  <c r="L223" i="17"/>
  <c r="L227" i="17" s="1"/>
  <c r="L184" i="17"/>
  <c r="L188" i="17" s="1"/>
  <c r="I242" i="17"/>
  <c r="I246" i="17" s="1"/>
  <c r="I149" i="17" s="1"/>
  <c r="R50" i="17"/>
  <c r="O100" i="17"/>
  <c r="O102" i="17" s="1"/>
  <c r="N104" i="17"/>
  <c r="N114" i="17" s="1"/>
  <c r="P99" i="17"/>
  <c r="P53" i="17"/>
  <c r="P55" i="17" s="1"/>
  <c r="Q6" i="17"/>
  <c r="Q52" i="17" s="1"/>
  <c r="P98" i="17"/>
  <c r="O136" i="17"/>
  <c r="O138" i="17" s="1"/>
  <c r="O139" i="17" s="1"/>
  <c r="O143" i="17" s="1"/>
  <c r="N138" i="17"/>
  <c r="N139" i="17" s="1"/>
  <c r="N143" i="17" s="1"/>
  <c r="U4" i="17"/>
  <c r="R11" i="7"/>
  <c r="Q10" i="4"/>
  <c r="R11" i="5"/>
  <c r="S232" i="17"/>
  <c r="S193" i="17"/>
  <c r="H20" i="4"/>
  <c r="H17" i="4"/>
  <c r="K144" i="17"/>
  <c r="K156" i="17" s="1"/>
  <c r="I22" i="5"/>
  <c r="H34" i="5"/>
  <c r="H36" i="7"/>
  <c r="M27" i="19" s="1"/>
  <c r="M28" i="19" s="1"/>
  <c r="M29" i="19" s="1"/>
  <c r="M30" i="19" s="1"/>
  <c r="H33" i="5"/>
  <c r="H35" i="7"/>
  <c r="L27" i="19"/>
  <c r="L28" i="19" s="1"/>
  <c r="L29" i="19" s="1"/>
  <c r="L30" i="19" s="1"/>
  <c r="M75" i="17"/>
  <c r="M77" i="17"/>
  <c r="J212" i="17"/>
  <c r="J147" i="17"/>
  <c r="L185" i="17"/>
  <c r="L189" i="17" s="1"/>
  <c r="L224" i="17"/>
  <c r="L228" i="17" s="1"/>
  <c r="L205" i="17"/>
  <c r="L209" i="17" s="1"/>
  <c r="O57" i="17"/>
  <c r="L123" i="17"/>
  <c r="G3" i="20" s="1"/>
  <c r="L126" i="17"/>
  <c r="L128" i="17" s="1"/>
  <c r="L121" i="17"/>
  <c r="I39" i="4" s="1"/>
  <c r="X96" i="17"/>
  <c r="P89" i="17"/>
  <c r="H151" i="17"/>
  <c r="Q90" i="17"/>
  <c r="Q92" i="17"/>
  <c r="R88" i="17"/>
  <c r="Q46" i="17"/>
  <c r="O61" i="17"/>
  <c r="M23" i="5" s="1"/>
  <c r="T245" i="17"/>
  <c r="S45" i="17"/>
  <c r="R47" i="17"/>
  <c r="R91" i="17"/>
  <c r="M120" i="17"/>
  <c r="M162" i="17"/>
  <c r="M164" i="17" s="1"/>
  <c r="N107" i="17"/>
  <c r="S254" i="17"/>
  <c r="I251" i="17"/>
  <c r="I255" i="17" s="1"/>
  <c r="I150" i="17" s="1"/>
  <c r="O58" i="17" l="1"/>
  <c r="O68" i="17" s="1"/>
  <c r="O74" i="17" s="1"/>
  <c r="P54" i="17"/>
  <c r="P56" i="17" s="1"/>
  <c r="K241" i="17"/>
  <c r="K244" i="17" s="1"/>
  <c r="J244" i="17"/>
  <c r="J242" i="17" s="1"/>
  <c r="J246" i="17" s="1"/>
  <c r="J149" i="17" s="1"/>
  <c r="M27" i="4"/>
  <c r="N15" i="5" s="1"/>
  <c r="N16" i="5" s="1"/>
  <c r="J252" i="17"/>
  <c r="J251" i="17" s="1"/>
  <c r="J255" i="17" s="1"/>
  <c r="J150" i="17" s="1"/>
  <c r="J155" i="17" s="1"/>
  <c r="P101" i="17"/>
  <c r="P103" i="17" s="1"/>
  <c r="K194" i="17"/>
  <c r="K146" i="17" s="1"/>
  <c r="L206" i="17"/>
  <c r="L241" i="17" s="1"/>
  <c r="I151" i="17"/>
  <c r="N163" i="17"/>
  <c r="O161" i="17"/>
  <c r="L225" i="17"/>
  <c r="L233" i="17" s="1"/>
  <c r="L148" i="17" s="1"/>
  <c r="M223" i="17"/>
  <c r="M227" i="17" s="1"/>
  <c r="M204" i="17"/>
  <c r="M208" i="17" s="1"/>
  <c r="M184" i="17"/>
  <c r="M188" i="17" s="1"/>
  <c r="L186" i="17"/>
  <c r="L194" i="17" s="1"/>
  <c r="L146" i="17" s="1"/>
  <c r="V4" i="17"/>
  <c r="S11" i="7"/>
  <c r="R10" i="4"/>
  <c r="S11" i="5"/>
  <c r="T232" i="17"/>
  <c r="T213" i="17"/>
  <c r="P136" i="17"/>
  <c r="O104" i="17"/>
  <c r="O114" i="17" s="1"/>
  <c r="T193" i="17"/>
  <c r="P100" i="17"/>
  <c r="P102" i="17" s="1"/>
  <c r="R6" i="17"/>
  <c r="Q99" i="17"/>
  <c r="Q98" i="17"/>
  <c r="Q53" i="17"/>
  <c r="Q55" i="17" s="1"/>
  <c r="S50" i="17"/>
  <c r="L144" i="17"/>
  <c r="L156" i="17" s="1"/>
  <c r="J22" i="5"/>
  <c r="I20" i="4"/>
  <c r="I17" i="4"/>
  <c r="I33" i="5"/>
  <c r="I35" i="7"/>
  <c r="I34" i="5"/>
  <c r="I36" i="7"/>
  <c r="M224" i="17"/>
  <c r="M228" i="17" s="1"/>
  <c r="M185" i="17"/>
  <c r="M189" i="17" s="1"/>
  <c r="M205" i="17"/>
  <c r="M209" i="17" s="1"/>
  <c r="K243" i="17"/>
  <c r="K252" i="17"/>
  <c r="R46" i="17"/>
  <c r="P61" i="17"/>
  <c r="N23" i="5" s="1"/>
  <c r="K212" i="17"/>
  <c r="K147" i="17"/>
  <c r="M123" i="17"/>
  <c r="H3" i="20" s="1"/>
  <c r="M126" i="17"/>
  <c r="M128" i="17" s="1"/>
  <c r="M121" i="17"/>
  <c r="J39" i="4" s="1"/>
  <c r="S47" i="17"/>
  <c r="T45" i="17"/>
  <c r="S91" i="17"/>
  <c r="N75" i="17"/>
  <c r="N77" i="17"/>
  <c r="K253" i="17"/>
  <c r="U245" i="17"/>
  <c r="Q89" i="17"/>
  <c r="T254" i="17"/>
  <c r="R90" i="17"/>
  <c r="R92" i="17"/>
  <c r="S88" i="17"/>
  <c r="P57" i="17"/>
  <c r="N120" i="17"/>
  <c r="N162" i="17"/>
  <c r="N164" i="17" s="1"/>
  <c r="O107" i="17"/>
  <c r="Y96" i="17"/>
  <c r="I155" i="17"/>
  <c r="M15" i="7"/>
  <c r="M16" i="7" s="1"/>
  <c r="M16" i="5"/>
  <c r="L15" i="7"/>
  <c r="L16" i="7" s="1"/>
  <c r="L16" i="5"/>
  <c r="I16" i="5"/>
  <c r="I15" i="7"/>
  <c r="I16" i="7" s="1"/>
  <c r="H15" i="7"/>
  <c r="H16" i="7" s="1"/>
  <c r="G16" i="5"/>
  <c r="G15" i="7"/>
  <c r="G16" i="7" s="1"/>
  <c r="K16" i="5"/>
  <c r="K15" i="7"/>
  <c r="K16" i="7" s="1"/>
  <c r="J15" i="7"/>
  <c r="J16" i="7" s="1"/>
  <c r="J16" i="5"/>
  <c r="P58" i="17" l="1"/>
  <c r="P68" i="17" s="1"/>
  <c r="P74" i="17" s="1"/>
  <c r="Q54" i="17"/>
  <c r="Q56" i="17" s="1"/>
  <c r="N27" i="4"/>
  <c r="O15" i="5" s="1"/>
  <c r="L214" i="17"/>
  <c r="L212" i="17" s="1"/>
  <c r="U193" i="17"/>
  <c r="P104" i="17"/>
  <c r="P114" i="17" s="1"/>
  <c r="M206" i="17"/>
  <c r="M241" i="17" s="1"/>
  <c r="M186" i="17"/>
  <c r="M240" i="17" s="1"/>
  <c r="O163" i="17"/>
  <c r="P161" i="17"/>
  <c r="M225" i="17"/>
  <c r="M233" i="17" s="1"/>
  <c r="M148" i="17" s="1"/>
  <c r="N223" i="17"/>
  <c r="N227" i="17" s="1"/>
  <c r="N184" i="17"/>
  <c r="N188" i="17" s="1"/>
  <c r="N204" i="17"/>
  <c r="N208" i="17" s="1"/>
  <c r="L240" i="17"/>
  <c r="L252" i="17" s="1"/>
  <c r="U213" i="17"/>
  <c r="N15" i="7"/>
  <c r="N16" i="7" s="1"/>
  <c r="K251" i="17"/>
  <c r="K255" i="17" s="1"/>
  <c r="K150" i="17" s="1"/>
  <c r="K155" i="17" s="1"/>
  <c r="U232" i="17"/>
  <c r="Q100" i="17"/>
  <c r="Q102" i="17" s="1"/>
  <c r="Q136" i="17"/>
  <c r="J151" i="17"/>
  <c r="R98" i="17"/>
  <c r="S6" i="17"/>
  <c r="S52" i="17" s="1"/>
  <c r="R99" i="17"/>
  <c r="R53" i="17"/>
  <c r="R55" i="17" s="1"/>
  <c r="Q101" i="17"/>
  <c r="Q103" i="17" s="1"/>
  <c r="P138" i="17"/>
  <c r="P139" i="17" s="1"/>
  <c r="P143" i="17" s="1"/>
  <c r="T50" i="17"/>
  <c r="R52" i="17"/>
  <c r="W4" i="17"/>
  <c r="T11" i="7"/>
  <c r="S10" i="4"/>
  <c r="T11" i="5"/>
  <c r="J20" i="4"/>
  <c r="J17" i="4"/>
  <c r="J33" i="5"/>
  <c r="J35" i="7"/>
  <c r="J34" i="5"/>
  <c r="J36" i="7"/>
  <c r="M144" i="17"/>
  <c r="M156" i="17" s="1"/>
  <c r="K22" i="5"/>
  <c r="K242" i="17"/>
  <c r="K246" i="17" s="1"/>
  <c r="K149" i="17" s="1"/>
  <c r="R89" i="17"/>
  <c r="T88" i="17"/>
  <c r="S90" i="17"/>
  <c r="S92" i="17"/>
  <c r="V245" i="17"/>
  <c r="Z96" i="17"/>
  <c r="L253" i="17"/>
  <c r="L244" i="17"/>
  <c r="T47" i="17"/>
  <c r="U45" i="17"/>
  <c r="T91" i="17"/>
  <c r="O120" i="17"/>
  <c r="O162" i="17"/>
  <c r="O164" i="17" s="1"/>
  <c r="P107" i="17"/>
  <c r="U254" i="17"/>
  <c r="S46" i="17"/>
  <c r="Q61" i="17"/>
  <c r="O23" i="5" s="1"/>
  <c r="Q57" i="17"/>
  <c r="N224" i="17"/>
  <c r="N228" i="17" s="1"/>
  <c r="N185" i="17"/>
  <c r="N189" i="17" s="1"/>
  <c r="N205" i="17"/>
  <c r="N209" i="17" s="1"/>
  <c r="O77" i="17"/>
  <c r="O75" i="17"/>
  <c r="N121" i="17"/>
  <c r="K39" i="4" s="1"/>
  <c r="N123" i="17"/>
  <c r="I3" i="20" s="1"/>
  <c r="N126" i="17"/>
  <c r="N128" i="17" s="1"/>
  <c r="Q58" i="17" l="1"/>
  <c r="Q68" i="17" s="1"/>
  <c r="Q74" i="17" s="1"/>
  <c r="R54" i="17"/>
  <c r="R56" i="17" s="1"/>
  <c r="O27" i="4"/>
  <c r="L243" i="17"/>
  <c r="L242" i="17" s="1"/>
  <c r="L246" i="17" s="1"/>
  <c r="L149" i="17" s="1"/>
  <c r="L147" i="17"/>
  <c r="M194" i="17"/>
  <c r="M146" i="17" s="1"/>
  <c r="K151" i="17"/>
  <c r="M214" i="17"/>
  <c r="M147" i="17" s="1"/>
  <c r="V193" i="17"/>
  <c r="N206" i="17"/>
  <c r="N241" i="17" s="1"/>
  <c r="N186" i="17"/>
  <c r="N194" i="17" s="1"/>
  <c r="N146" i="17" s="1"/>
  <c r="N225" i="17"/>
  <c r="N233" i="17" s="1"/>
  <c r="N148" i="17" s="1"/>
  <c r="P163" i="17"/>
  <c r="Q161" i="17"/>
  <c r="O184" i="17"/>
  <c r="O188" i="17" s="1"/>
  <c r="O204" i="17"/>
  <c r="O208" i="17" s="1"/>
  <c r="O223" i="17"/>
  <c r="O227" i="17" s="1"/>
  <c r="V213" i="17"/>
  <c r="Q104" i="17"/>
  <c r="Q114" i="17" s="1"/>
  <c r="L251" i="17"/>
  <c r="L255" i="17" s="1"/>
  <c r="L150" i="17" s="1"/>
  <c r="R100" i="17"/>
  <c r="R102" i="17" s="1"/>
  <c r="R136" i="17"/>
  <c r="U50" i="17"/>
  <c r="T6" i="17"/>
  <c r="S53" i="17"/>
  <c r="S55" i="17" s="1"/>
  <c r="S98" i="17"/>
  <c r="S99" i="17"/>
  <c r="Q138" i="17"/>
  <c r="Q139" i="17" s="1"/>
  <c r="Q143" i="17" s="1"/>
  <c r="X4" i="17"/>
  <c r="U11" i="5"/>
  <c r="U11" i="7"/>
  <c r="T10" i="4"/>
  <c r="R101" i="17"/>
  <c r="R103" i="17" s="1"/>
  <c r="V232" i="17"/>
  <c r="K20" i="4"/>
  <c r="K17" i="4"/>
  <c r="K33" i="5"/>
  <c r="K35" i="7"/>
  <c r="N144" i="17"/>
  <c r="N156" i="17" s="1"/>
  <c r="L22" i="5"/>
  <c r="K34" i="5"/>
  <c r="K36" i="7"/>
  <c r="AA96" i="17"/>
  <c r="P77" i="17"/>
  <c r="P75" i="17"/>
  <c r="T46" i="17"/>
  <c r="W245" i="17"/>
  <c r="R61" i="17"/>
  <c r="P23" i="5" s="1"/>
  <c r="V254" i="17"/>
  <c r="M243" i="17"/>
  <c r="M252" i="17"/>
  <c r="R57" i="17"/>
  <c r="S89" i="17"/>
  <c r="M244" i="17"/>
  <c r="M253" i="17"/>
  <c r="P120" i="17"/>
  <c r="P162" i="17"/>
  <c r="P164" i="17" s="1"/>
  <c r="Q107" i="17"/>
  <c r="U88" i="17"/>
  <c r="T90" i="17"/>
  <c r="T92" i="17"/>
  <c r="O121" i="17"/>
  <c r="L39" i="4" s="1"/>
  <c r="O123" i="17"/>
  <c r="J3" i="20" s="1"/>
  <c r="O126" i="17"/>
  <c r="O128" i="17" s="1"/>
  <c r="U91" i="17"/>
  <c r="U47" i="17"/>
  <c r="V45" i="17"/>
  <c r="O224" i="17"/>
  <c r="O228" i="17" s="1"/>
  <c r="O185" i="17"/>
  <c r="O189" i="17" s="1"/>
  <c r="O205" i="17"/>
  <c r="O209" i="17" s="1"/>
  <c r="O16" i="5"/>
  <c r="O15" i="7"/>
  <c r="O16" i="7" s="1"/>
  <c r="I33" i="9"/>
  <c r="F33" i="9"/>
  <c r="I31" i="9"/>
  <c r="F31" i="9"/>
  <c r="I29" i="9"/>
  <c r="F29" i="9"/>
  <c r="I27" i="9"/>
  <c r="F27" i="9"/>
  <c r="K24" i="9"/>
  <c r="K13" i="9"/>
  <c r="O29" i="7"/>
  <c r="P29" i="7"/>
  <c r="Q29" i="7"/>
  <c r="R29" i="7"/>
  <c r="S29" i="7"/>
  <c r="T29" i="7"/>
  <c r="U29" i="7"/>
  <c r="V29" i="7"/>
  <c r="H28" i="10"/>
  <c r="S54" i="17" l="1"/>
  <c r="S56" i="17" s="1"/>
  <c r="R58" i="17"/>
  <c r="R68" i="17" s="1"/>
  <c r="P27" i="4"/>
  <c r="L155" i="17"/>
  <c r="M212" i="17"/>
  <c r="S101" i="17"/>
  <c r="S103" i="17" s="1"/>
  <c r="L151" i="17"/>
  <c r="R104" i="17"/>
  <c r="R114" i="17" s="1"/>
  <c r="W213" i="17"/>
  <c r="N214" i="17"/>
  <c r="N212" i="17" s="1"/>
  <c r="N240" i="17"/>
  <c r="N243" i="17" s="1"/>
  <c r="Q163" i="17"/>
  <c r="R161" i="17"/>
  <c r="O206" i="17"/>
  <c r="O241" i="17" s="1"/>
  <c r="P184" i="17"/>
  <c r="P188" i="17" s="1"/>
  <c r="P223" i="17"/>
  <c r="P227" i="17" s="1"/>
  <c r="P204" i="17"/>
  <c r="P208" i="17" s="1"/>
  <c r="O186" i="17"/>
  <c r="O194" i="17" s="1"/>
  <c r="O146" i="17" s="1"/>
  <c r="O225" i="17"/>
  <c r="O233" i="17" s="1"/>
  <c r="O148" i="17" s="1"/>
  <c r="W193" i="17"/>
  <c r="Y4" i="17"/>
  <c r="V11" i="5"/>
  <c r="V11" i="7"/>
  <c r="U10" i="4"/>
  <c r="W232" i="17"/>
  <c r="R138" i="17"/>
  <c r="R139" i="17" s="1"/>
  <c r="R143" i="17" s="1"/>
  <c r="S136" i="17"/>
  <c r="T53" i="17"/>
  <c r="T55" i="17" s="1"/>
  <c r="T98" i="17"/>
  <c r="U6" i="17"/>
  <c r="T99" i="17"/>
  <c r="T52" i="17"/>
  <c r="V50" i="17"/>
  <c r="S100" i="17"/>
  <c r="S102" i="17" s="1"/>
  <c r="P15" i="5"/>
  <c r="P16" i="5" s="1"/>
  <c r="P15" i="7"/>
  <c r="P16" i="7" s="1"/>
  <c r="L34" i="5"/>
  <c r="L36" i="7"/>
  <c r="L20" i="4"/>
  <c r="L17" i="4"/>
  <c r="O144" i="17"/>
  <c r="O156" i="17" s="1"/>
  <c r="M22" i="5"/>
  <c r="L33" i="5"/>
  <c r="L35" i="7"/>
  <c r="U90" i="17"/>
  <c r="U92" i="17"/>
  <c r="V88" i="17"/>
  <c r="P121" i="17"/>
  <c r="M39" i="4" s="1"/>
  <c r="P126" i="17"/>
  <c r="P128" i="17" s="1"/>
  <c r="P123" i="17"/>
  <c r="K3" i="20" s="1"/>
  <c r="M242" i="17"/>
  <c r="M246" i="17" s="1"/>
  <c r="M149" i="17" s="1"/>
  <c r="Q75" i="17"/>
  <c r="Q77" i="17"/>
  <c r="AB96" i="17"/>
  <c r="U46" i="17"/>
  <c r="P205" i="17"/>
  <c r="P209" i="17" s="1"/>
  <c r="P185" i="17"/>
  <c r="P189" i="17" s="1"/>
  <c r="P224" i="17"/>
  <c r="P228" i="17" s="1"/>
  <c r="R74" i="17"/>
  <c r="S61" i="17"/>
  <c r="Q23" i="5" s="1"/>
  <c r="V47" i="17"/>
  <c r="W45" i="17"/>
  <c r="V91" i="17"/>
  <c r="W254" i="17"/>
  <c r="N253" i="17"/>
  <c r="N244" i="17"/>
  <c r="Q120" i="17"/>
  <c r="Q162" i="17"/>
  <c r="Q164" i="17" s="1"/>
  <c r="R107" i="17"/>
  <c r="X245" i="17"/>
  <c r="M251" i="17"/>
  <c r="M255" i="17" s="1"/>
  <c r="M150" i="17" s="1"/>
  <c r="M155" i="17" s="1"/>
  <c r="T89" i="17"/>
  <c r="S57" i="17"/>
  <c r="S58" i="17" s="1"/>
  <c r="S68" i="17" s="1"/>
  <c r="E52" i="7"/>
  <c r="T54" i="17" l="1"/>
  <c r="T56" i="17" s="1"/>
  <c r="Q27" i="4"/>
  <c r="N252" i="17"/>
  <c r="N251" i="17" s="1"/>
  <c r="N255" i="17" s="1"/>
  <c r="N150" i="17" s="1"/>
  <c r="N147" i="17"/>
  <c r="O214" i="17"/>
  <c r="O212" i="17" s="1"/>
  <c r="P225" i="17"/>
  <c r="P233" i="17" s="1"/>
  <c r="P148" i="17" s="1"/>
  <c r="O240" i="17"/>
  <c r="O252" i="17" s="1"/>
  <c r="P186" i="17"/>
  <c r="P194" i="17" s="1"/>
  <c r="P146" i="17" s="1"/>
  <c r="R163" i="17"/>
  <c r="S161" i="17"/>
  <c r="P206" i="17"/>
  <c r="P241" i="17" s="1"/>
  <c r="Q204" i="17"/>
  <c r="Q208" i="17" s="1"/>
  <c r="Q184" i="17"/>
  <c r="Q188" i="17" s="1"/>
  <c r="Q223" i="17"/>
  <c r="Q227" i="17" s="1"/>
  <c r="X232" i="17"/>
  <c r="T136" i="17"/>
  <c r="T100" i="17"/>
  <c r="T102" i="17" s="1"/>
  <c r="Q15" i="5"/>
  <c r="Q16" i="5" s="1"/>
  <c r="Q15" i="7"/>
  <c r="Q16" i="7" s="1"/>
  <c r="Z4" i="17"/>
  <c r="W11" i="5"/>
  <c r="W11" i="7"/>
  <c r="V10" i="4"/>
  <c r="V6" i="17"/>
  <c r="V52" i="17" s="1"/>
  <c r="U53" i="17"/>
  <c r="U55" i="17" s="1"/>
  <c r="U99" i="17"/>
  <c r="U98" i="17"/>
  <c r="T101" i="17"/>
  <c r="T103" i="17" s="1"/>
  <c r="S138" i="17"/>
  <c r="S139" i="17" s="1"/>
  <c r="S143" i="17" s="1"/>
  <c r="X193" i="17"/>
  <c r="W50" i="17"/>
  <c r="S104" i="17"/>
  <c r="S114" i="17" s="1"/>
  <c r="U52" i="17"/>
  <c r="U54" i="17" s="1"/>
  <c r="U56" i="17" s="1"/>
  <c r="X213" i="17"/>
  <c r="M34" i="5"/>
  <c r="M36" i="7"/>
  <c r="P144" i="17"/>
  <c r="P156" i="17" s="1"/>
  <c r="N22" i="5"/>
  <c r="M17" i="4"/>
  <c r="M20" i="4"/>
  <c r="M33" i="5"/>
  <c r="M35" i="7"/>
  <c r="O244" i="17"/>
  <c r="O253" i="17"/>
  <c r="R75" i="17"/>
  <c r="R77" i="17"/>
  <c r="W88" i="17"/>
  <c r="V90" i="17"/>
  <c r="V92" i="17"/>
  <c r="V46" i="17"/>
  <c r="M151" i="17"/>
  <c r="U89" i="17"/>
  <c r="X45" i="17"/>
  <c r="W47" i="17"/>
  <c r="W91" i="17"/>
  <c r="S74" i="17"/>
  <c r="T61" i="17"/>
  <c r="R23" i="5" s="1"/>
  <c r="T57" i="17"/>
  <c r="Y245" i="17"/>
  <c r="R162" i="17"/>
  <c r="R164" i="17" s="1"/>
  <c r="R120" i="17"/>
  <c r="S107" i="17"/>
  <c r="N242" i="17"/>
  <c r="N246" i="17" s="1"/>
  <c r="N149" i="17" s="1"/>
  <c r="Q121" i="17"/>
  <c r="N39" i="4" s="1"/>
  <c r="Q123" i="17"/>
  <c r="L3" i="20" s="1"/>
  <c r="Q126" i="17"/>
  <c r="Q128" i="17" s="1"/>
  <c r="Q205" i="17"/>
  <c r="Q209" i="17" s="1"/>
  <c r="Q185" i="17"/>
  <c r="Q189" i="17" s="1"/>
  <c r="Q224" i="17"/>
  <c r="Q228" i="17" s="1"/>
  <c r="X254" i="17"/>
  <c r="T58" i="17" l="1"/>
  <c r="T68" i="17" s="1"/>
  <c r="T74" i="17" s="1"/>
  <c r="O147" i="17"/>
  <c r="R27" i="4"/>
  <c r="N151" i="17"/>
  <c r="N155" i="17"/>
  <c r="O243" i="17"/>
  <c r="O242" i="17" s="1"/>
  <c r="O246" i="17" s="1"/>
  <c r="O149" i="17" s="1"/>
  <c r="P240" i="17"/>
  <c r="P252" i="17" s="1"/>
  <c r="Q206" i="17"/>
  <c r="Q241" i="17" s="1"/>
  <c r="P214" i="17"/>
  <c r="P147" i="17" s="1"/>
  <c r="T104" i="17"/>
  <c r="T114" i="17" s="1"/>
  <c r="Q225" i="17"/>
  <c r="Q233" i="17" s="1"/>
  <c r="Q148" i="17" s="1"/>
  <c r="S163" i="17"/>
  <c r="T161" i="17"/>
  <c r="Q186" i="17"/>
  <c r="Q240" i="17" s="1"/>
  <c r="R223" i="17"/>
  <c r="R227" i="17" s="1"/>
  <c r="R184" i="17"/>
  <c r="R188" i="17" s="1"/>
  <c r="R204" i="17"/>
  <c r="R208" i="17" s="1"/>
  <c r="U101" i="17"/>
  <c r="U103" i="17" s="1"/>
  <c r="Y213" i="17"/>
  <c r="AA4" i="17"/>
  <c r="W10" i="4"/>
  <c r="X11" i="5"/>
  <c r="X11" i="7"/>
  <c r="R15" i="5"/>
  <c r="R16" i="5" s="1"/>
  <c r="R15" i="7"/>
  <c r="R16" i="7" s="1"/>
  <c r="Y193" i="17"/>
  <c r="T138" i="17"/>
  <c r="T139" i="17" s="1"/>
  <c r="T143" i="17" s="1"/>
  <c r="U100" i="17"/>
  <c r="U102" i="17" s="1"/>
  <c r="X50" i="17"/>
  <c r="V54" i="17"/>
  <c r="V56" i="17" s="1"/>
  <c r="U136" i="17"/>
  <c r="U138" i="17" s="1"/>
  <c r="U139" i="17" s="1"/>
  <c r="U143" i="17" s="1"/>
  <c r="V98" i="17"/>
  <c r="W6" i="17"/>
  <c r="W52" i="17" s="1"/>
  <c r="V99" i="17"/>
  <c r="V53" i="17"/>
  <c r="V55" i="17" s="1"/>
  <c r="Y232" i="17"/>
  <c r="N20" i="4"/>
  <c r="N17" i="4"/>
  <c r="Q144" i="17"/>
  <c r="Q156" i="17" s="1"/>
  <c r="O22" i="5"/>
  <c r="N34" i="5"/>
  <c r="N36" i="7"/>
  <c r="N33" i="5"/>
  <c r="N35" i="7"/>
  <c r="S120" i="17"/>
  <c r="S162" i="17"/>
  <c r="S164" i="17" s="1"/>
  <c r="T107" i="17"/>
  <c r="R121" i="17"/>
  <c r="O39" i="4" s="1"/>
  <c r="R123" i="17"/>
  <c r="M3" i="20" s="1"/>
  <c r="R126" i="17"/>
  <c r="R128" i="17" s="1"/>
  <c r="S77" i="17"/>
  <c r="S75" i="17"/>
  <c r="X88" i="17"/>
  <c r="W90" i="17"/>
  <c r="W92" i="17"/>
  <c r="O251" i="17"/>
  <c r="O255" i="17" s="1"/>
  <c r="O150" i="17" s="1"/>
  <c r="W46" i="17"/>
  <c r="V89" i="17"/>
  <c r="Y254" i="17"/>
  <c r="U61" i="17"/>
  <c r="S23" i="5" s="1"/>
  <c r="P244" i="17"/>
  <c r="P253" i="17"/>
  <c r="Z245" i="17"/>
  <c r="Y45" i="17"/>
  <c r="X47" i="17"/>
  <c r="X91" i="17"/>
  <c r="R205" i="17"/>
  <c r="R185" i="17"/>
  <c r="R189" i="17" s="1"/>
  <c r="R224" i="17"/>
  <c r="R228" i="17" s="1"/>
  <c r="U57" i="17"/>
  <c r="U58" i="17" s="1"/>
  <c r="U68" i="17" s="1"/>
  <c r="E53" i="7"/>
  <c r="B35" i="7"/>
  <c r="B33" i="5"/>
  <c r="E6" i="7"/>
  <c r="K53" i="7"/>
  <c r="L53" i="7"/>
  <c r="M53" i="7"/>
  <c r="N53" i="7"/>
  <c r="O53" i="7"/>
  <c r="P53" i="7"/>
  <c r="Q53" i="7"/>
  <c r="R53" i="7"/>
  <c r="S53" i="7"/>
  <c r="T53" i="7"/>
  <c r="U53" i="7"/>
  <c r="V53" i="7"/>
  <c r="W53" i="7"/>
  <c r="X53" i="7"/>
  <c r="Q10" i="7"/>
  <c r="R10" i="7"/>
  <c r="S10" i="7"/>
  <c r="T10" i="7"/>
  <c r="U10" i="7"/>
  <c r="V10" i="7"/>
  <c r="W10" i="7"/>
  <c r="X10" i="7"/>
  <c r="O10" i="7"/>
  <c r="P10" i="7"/>
  <c r="K10" i="7"/>
  <c r="L10" i="7"/>
  <c r="M10" i="7"/>
  <c r="N10" i="7"/>
  <c r="W10" i="5"/>
  <c r="X10" i="5"/>
  <c r="T10" i="5"/>
  <c r="U10" i="5"/>
  <c r="V10" i="5"/>
  <c r="O10" i="5"/>
  <c r="P10" i="5"/>
  <c r="Q10" i="5"/>
  <c r="R10" i="5"/>
  <c r="S10" i="5"/>
  <c r="E4" i="4"/>
  <c r="F4" i="4" s="1"/>
  <c r="G4" i="4" s="1"/>
  <c r="O155" i="17" l="1"/>
  <c r="S27" i="4"/>
  <c r="Q214" i="17"/>
  <c r="Q212" i="17" s="1"/>
  <c r="P212" i="17"/>
  <c r="P243" i="17"/>
  <c r="P242" i="17" s="1"/>
  <c r="P246" i="17" s="1"/>
  <c r="P149" i="17" s="1"/>
  <c r="H4" i="4"/>
  <c r="H8" i="5"/>
  <c r="R206" i="17"/>
  <c r="R214" i="17" s="1"/>
  <c r="R209" i="17"/>
  <c r="Z232" i="17"/>
  <c r="Q194" i="17"/>
  <c r="Q146" i="17" s="1"/>
  <c r="R186" i="17"/>
  <c r="R194" i="17" s="1"/>
  <c r="R146" i="17" s="1"/>
  <c r="U104" i="17"/>
  <c r="U114" i="17" s="1"/>
  <c r="T163" i="17"/>
  <c r="U161" i="17"/>
  <c r="S184" i="17"/>
  <c r="S188" i="17" s="1"/>
  <c r="S223" i="17"/>
  <c r="S227" i="17" s="1"/>
  <c r="S204" i="17"/>
  <c r="S208" i="17" s="1"/>
  <c r="R225" i="17"/>
  <c r="R233" i="17" s="1"/>
  <c r="R148" i="17" s="1"/>
  <c r="V101" i="17"/>
  <c r="V103" i="17" s="1"/>
  <c r="Z193" i="17"/>
  <c r="S15" i="5"/>
  <c r="S16" i="5" s="1"/>
  <c r="S15" i="7"/>
  <c r="S16" i="7" s="1"/>
  <c r="W98" i="17"/>
  <c r="W53" i="17"/>
  <c r="W55" i="17" s="1"/>
  <c r="X6" i="17"/>
  <c r="W99" i="17"/>
  <c r="AB4" i="17"/>
  <c r="X10" i="4"/>
  <c r="Y11" i="5"/>
  <c r="Y42" i="5" s="1"/>
  <c r="Y11" i="7"/>
  <c r="Y44" i="7" s="1"/>
  <c r="Y50" i="17"/>
  <c r="W54" i="17"/>
  <c r="W56" i="17" s="1"/>
  <c r="V136" i="17"/>
  <c r="V100" i="17"/>
  <c r="V102" i="17" s="1"/>
  <c r="Z213" i="17"/>
  <c r="O17" i="4"/>
  <c r="O20" i="4"/>
  <c r="R144" i="17"/>
  <c r="R156" i="17" s="1"/>
  <c r="P22" i="5"/>
  <c r="O34" i="5"/>
  <c r="O36" i="7"/>
  <c r="O33" i="5"/>
  <c r="O35" i="7"/>
  <c r="X44" i="7"/>
  <c r="W44" i="7"/>
  <c r="X46" i="17"/>
  <c r="Z45" i="17"/>
  <c r="Y91" i="17"/>
  <c r="Y47" i="17"/>
  <c r="V57" i="17"/>
  <c r="V58" i="17" s="1"/>
  <c r="V68" i="17" s="1"/>
  <c r="Q244" i="17"/>
  <c r="Q253" i="17"/>
  <c r="Q252" i="17"/>
  <c r="Q243" i="17"/>
  <c r="Y88" i="17"/>
  <c r="X90" i="17"/>
  <c r="X92" i="17"/>
  <c r="W89" i="17"/>
  <c r="T77" i="17"/>
  <c r="T75" i="17"/>
  <c r="T120" i="17"/>
  <c r="T162" i="17"/>
  <c r="T164" i="17" s="1"/>
  <c r="U107" i="17"/>
  <c r="Z254" i="17"/>
  <c r="S205" i="17"/>
  <c r="S209" i="17" s="1"/>
  <c r="S185" i="17"/>
  <c r="S189" i="17" s="1"/>
  <c r="S224" i="17"/>
  <c r="S228" i="17" s="1"/>
  <c r="S121" i="17"/>
  <c r="P39" i="4" s="1"/>
  <c r="S123" i="17"/>
  <c r="N3" i="20" s="1"/>
  <c r="S126" i="17"/>
  <c r="S128" i="17" s="1"/>
  <c r="P251" i="17"/>
  <c r="P255" i="17" s="1"/>
  <c r="P150" i="17" s="1"/>
  <c r="P155" i="17" s="1"/>
  <c r="AA245" i="17"/>
  <c r="O151" i="17"/>
  <c r="U74" i="17"/>
  <c r="V61" i="17"/>
  <c r="T23" i="5" s="1"/>
  <c r="E34" i="7"/>
  <c r="Q147" i="17" l="1"/>
  <c r="T27" i="4"/>
  <c r="R241" i="17"/>
  <c r="R244" i="17" s="1"/>
  <c r="AA232" i="17"/>
  <c r="AB232" i="17" s="1"/>
  <c r="I4" i="4"/>
  <c r="I8" i="5"/>
  <c r="R240" i="17"/>
  <c r="R252" i="17" s="1"/>
  <c r="P151" i="17"/>
  <c r="S225" i="17"/>
  <c r="S233" i="17" s="1"/>
  <c r="S148" i="17" s="1"/>
  <c r="S186" i="17"/>
  <c r="S240" i="17" s="1"/>
  <c r="S206" i="17"/>
  <c r="S214" i="17" s="1"/>
  <c r="W101" i="17"/>
  <c r="W103" i="17" s="1"/>
  <c r="U163" i="17"/>
  <c r="V161" i="17"/>
  <c r="T204" i="17"/>
  <c r="T208" i="17" s="1"/>
  <c r="T223" i="17"/>
  <c r="T227" i="17" s="1"/>
  <c r="T184" i="17"/>
  <c r="T188" i="17" s="1"/>
  <c r="W136" i="17"/>
  <c r="W138" i="17" s="1"/>
  <c r="W139" i="17" s="1"/>
  <c r="W143" i="17" s="1"/>
  <c r="V104" i="17"/>
  <c r="V114" i="17" s="1"/>
  <c r="V138" i="17"/>
  <c r="V139" i="17" s="1"/>
  <c r="V143" i="17" s="1"/>
  <c r="X53" i="17"/>
  <c r="X55" i="17" s="1"/>
  <c r="Y6" i="17"/>
  <c r="X99" i="17"/>
  <c r="X98" i="17"/>
  <c r="X52" i="17"/>
  <c r="X54" i="17" s="1"/>
  <c r="X56" i="17" s="1"/>
  <c r="Z50" i="17"/>
  <c r="W100" i="17"/>
  <c r="W102" i="17" s="1"/>
  <c r="AA193" i="17"/>
  <c r="AB193" i="17" s="1"/>
  <c r="T15" i="5"/>
  <c r="T16" i="5" s="1"/>
  <c r="T15" i="7"/>
  <c r="T16" i="7" s="1"/>
  <c r="Q251" i="17"/>
  <c r="Q255" i="17" s="1"/>
  <c r="Q150" i="17" s="1"/>
  <c r="AA213" i="17"/>
  <c r="AB213" i="17" s="1"/>
  <c r="S144" i="17"/>
  <c r="S156" i="17" s="1"/>
  <c r="Q22" i="5"/>
  <c r="P33" i="5"/>
  <c r="P35" i="7"/>
  <c r="P20" i="4"/>
  <c r="P17" i="4"/>
  <c r="P34" i="5"/>
  <c r="P36" i="7"/>
  <c r="E39" i="7"/>
  <c r="E72" i="7"/>
  <c r="T126" i="17"/>
  <c r="T128" i="17" s="1"/>
  <c r="T121" i="17"/>
  <c r="Q39" i="4" s="1"/>
  <c r="T123" i="17"/>
  <c r="O3" i="20" s="1"/>
  <c r="Q242" i="17"/>
  <c r="Q246" i="17" s="1"/>
  <c r="Q149" i="17" s="1"/>
  <c r="R212" i="17"/>
  <c r="R147" i="17"/>
  <c r="V74" i="17"/>
  <c r="W61" i="17"/>
  <c r="U23" i="5" s="1"/>
  <c r="X89" i="17"/>
  <c r="U75" i="17"/>
  <c r="U77" i="17"/>
  <c r="W57" i="17"/>
  <c r="W58" i="17" s="1"/>
  <c r="W68" i="17" s="1"/>
  <c r="AB245" i="17"/>
  <c r="Y46" i="17"/>
  <c r="U162" i="17"/>
  <c r="U164" i="17" s="1"/>
  <c r="U120" i="17"/>
  <c r="V107" i="17"/>
  <c r="Y90" i="17"/>
  <c r="Y92" i="17"/>
  <c r="Z88" i="17"/>
  <c r="T185" i="17"/>
  <c r="T189" i="17" s="1"/>
  <c r="T224" i="17"/>
  <c r="T228" i="17" s="1"/>
  <c r="T205" i="17"/>
  <c r="T209" i="17" s="1"/>
  <c r="AA254" i="17"/>
  <c r="AA45" i="17"/>
  <c r="Z47" i="17"/>
  <c r="Z91" i="17"/>
  <c r="Q155" i="17" l="1"/>
  <c r="R253" i="17"/>
  <c r="R251" i="17" s="1"/>
  <c r="R255" i="17" s="1"/>
  <c r="R150" i="17" s="1"/>
  <c r="R155" i="17" s="1"/>
  <c r="W104" i="17"/>
  <c r="W114" i="17" s="1"/>
  <c r="U27" i="4"/>
  <c r="S194" i="17"/>
  <c r="S146" i="17" s="1"/>
  <c r="R243" i="17"/>
  <c r="R242" i="17" s="1"/>
  <c r="R246" i="17" s="1"/>
  <c r="R149" i="17" s="1"/>
  <c r="S241" i="17"/>
  <c r="S253" i="17" s="1"/>
  <c r="J4" i="4"/>
  <c r="J8" i="5"/>
  <c r="X101" i="17"/>
  <c r="X103" i="17" s="1"/>
  <c r="T206" i="17"/>
  <c r="T214" i="17" s="1"/>
  <c r="V163" i="17"/>
  <c r="W161" i="17"/>
  <c r="T225" i="17"/>
  <c r="T233" i="17" s="1"/>
  <c r="T148" i="17" s="1"/>
  <c r="U204" i="17"/>
  <c r="U208" i="17" s="1"/>
  <c r="U223" i="17"/>
  <c r="U227" i="17" s="1"/>
  <c r="U184" i="17"/>
  <c r="U188" i="17" s="1"/>
  <c r="T186" i="17"/>
  <c r="T194" i="17" s="1"/>
  <c r="T146" i="17" s="1"/>
  <c r="Q151" i="17"/>
  <c r="U15" i="5"/>
  <c r="U16" i="5" s="1"/>
  <c r="U15" i="7"/>
  <c r="U16" i="7" s="1"/>
  <c r="Y99" i="17"/>
  <c r="Z6" i="17"/>
  <c r="Z52" i="17" s="1"/>
  <c r="Y53" i="17"/>
  <c r="Y55" i="17" s="1"/>
  <c r="Y98" i="17"/>
  <c r="Y52" i="17"/>
  <c r="Y54" i="17" s="1"/>
  <c r="Y56" i="17" s="1"/>
  <c r="X100" i="17"/>
  <c r="X102" i="17" s="1"/>
  <c r="X136" i="17"/>
  <c r="X138" i="17" s="1"/>
  <c r="X139" i="17" s="1"/>
  <c r="X143" i="17" s="1"/>
  <c r="AA50" i="17"/>
  <c r="Q17" i="4"/>
  <c r="Q20" i="4"/>
  <c r="Q33" i="5"/>
  <c r="Q35" i="7"/>
  <c r="Q34" i="5"/>
  <c r="Q36" i="7"/>
  <c r="T144" i="17"/>
  <c r="T156" i="17" s="1"/>
  <c r="R22" i="5"/>
  <c r="V75" i="17"/>
  <c r="V77" i="17"/>
  <c r="V162" i="17"/>
  <c r="V164" i="17" s="1"/>
  <c r="V120" i="17"/>
  <c r="W107" i="17"/>
  <c r="Z90" i="17"/>
  <c r="Z92" i="17"/>
  <c r="AA88" i="17"/>
  <c r="X57" i="17"/>
  <c r="X58" i="17" s="1"/>
  <c r="X68" i="17" s="1"/>
  <c r="U123" i="17"/>
  <c r="P3" i="20" s="1"/>
  <c r="U126" i="17"/>
  <c r="U128" i="17" s="1"/>
  <c r="U121" i="17"/>
  <c r="R39" i="4" s="1"/>
  <c r="Z46" i="17"/>
  <c r="AA47" i="17"/>
  <c r="AB45" i="17"/>
  <c r="AB47" i="17" s="1"/>
  <c r="AA91" i="17"/>
  <c r="Y89" i="17"/>
  <c r="AB254" i="17"/>
  <c r="U224" i="17"/>
  <c r="U228" i="17" s="1"/>
  <c r="U185" i="17"/>
  <c r="U189" i="17" s="1"/>
  <c r="U205" i="17"/>
  <c r="U209" i="17" s="1"/>
  <c r="S243" i="17"/>
  <c r="S252" i="17"/>
  <c r="S212" i="17"/>
  <c r="S147" i="17"/>
  <c r="W74" i="17"/>
  <c r="X61" i="17"/>
  <c r="V23" i="5" s="1"/>
  <c r="V27" i="4" l="1"/>
  <c r="S244" i="17"/>
  <c r="S242" i="17" s="1"/>
  <c r="S246" i="17" s="1"/>
  <c r="S149" i="17" s="1"/>
  <c r="T241" i="17"/>
  <c r="T253" i="17" s="1"/>
  <c r="Y101" i="17"/>
  <c r="Y103" i="17" s="1"/>
  <c r="Z54" i="17"/>
  <c r="Z56" i="17" s="1"/>
  <c r="K4" i="4"/>
  <c r="K8" i="5"/>
  <c r="K8" i="7"/>
  <c r="H2" i="20" s="1"/>
  <c r="U206" i="17"/>
  <c r="U214" i="17" s="1"/>
  <c r="U225" i="17"/>
  <c r="U233" i="17" s="1"/>
  <c r="U148" i="17" s="1"/>
  <c r="U186" i="17"/>
  <c r="U240" i="17" s="1"/>
  <c r="X104" i="17"/>
  <c r="X114" i="17" s="1"/>
  <c r="W163" i="17"/>
  <c r="X161" i="17"/>
  <c r="T240" i="17"/>
  <c r="T252" i="17" s="1"/>
  <c r="V204" i="17"/>
  <c r="V208" i="17" s="1"/>
  <c r="V184" i="17"/>
  <c r="V188" i="17" s="1"/>
  <c r="V223" i="17"/>
  <c r="V227" i="17" s="1"/>
  <c r="Y100" i="17"/>
  <c r="Y102" i="17" s="1"/>
  <c r="Y136" i="17"/>
  <c r="V15" i="5"/>
  <c r="V16" i="5" s="1"/>
  <c r="V15" i="7"/>
  <c r="V16" i="7" s="1"/>
  <c r="AB50" i="17"/>
  <c r="Z99" i="17"/>
  <c r="AA6" i="17"/>
  <c r="AA52" i="17" s="1"/>
  <c r="Z98" i="17"/>
  <c r="Z53" i="17"/>
  <c r="Z55" i="17" s="1"/>
  <c r="R17" i="4"/>
  <c r="R20" i="4"/>
  <c r="R33" i="5"/>
  <c r="R35" i="7"/>
  <c r="R34" i="5"/>
  <c r="R36" i="7"/>
  <c r="U144" i="17"/>
  <c r="U156" i="17" s="1"/>
  <c r="S22" i="5"/>
  <c r="AB46" i="17"/>
  <c r="Z89" i="17"/>
  <c r="AA46" i="17"/>
  <c r="AB88" i="17"/>
  <c r="AB90" i="17" s="1"/>
  <c r="AA90" i="17"/>
  <c r="AA92" i="17"/>
  <c r="Y57" i="17"/>
  <c r="Y58" i="17" s="1"/>
  <c r="Y68" i="17" s="1"/>
  <c r="X74" i="17"/>
  <c r="Y61" i="17"/>
  <c r="W23" i="5" s="1"/>
  <c r="S251" i="17"/>
  <c r="S255" i="17" s="1"/>
  <c r="S150" i="17" s="1"/>
  <c r="S155" i="17" s="1"/>
  <c r="W120" i="17"/>
  <c r="W162" i="17"/>
  <c r="W164" i="17" s="1"/>
  <c r="X107" i="17"/>
  <c r="V224" i="17"/>
  <c r="V185" i="17"/>
  <c r="V189" i="17" s="1"/>
  <c r="V205" i="17"/>
  <c r="V209" i="17" s="1"/>
  <c r="W75" i="17"/>
  <c r="W77" i="17"/>
  <c r="T147" i="17"/>
  <c r="T212" i="17"/>
  <c r="V121" i="17"/>
  <c r="S39" i="4" s="1"/>
  <c r="V123" i="17"/>
  <c r="Q3" i="20" s="1"/>
  <c r="V126" i="17"/>
  <c r="V128" i="17" s="1"/>
  <c r="R151" i="17"/>
  <c r="T244" i="17" l="1"/>
  <c r="W27" i="4"/>
  <c r="AA54" i="17"/>
  <c r="AA56" i="17" s="1"/>
  <c r="U241" i="17"/>
  <c r="U244" i="17" s="1"/>
  <c r="T243" i="17"/>
  <c r="V225" i="17"/>
  <c r="V233" i="17" s="1"/>
  <c r="V148" i="17" s="1"/>
  <c r="V228" i="17"/>
  <c r="L4" i="4"/>
  <c r="L8" i="5"/>
  <c r="L8" i="7"/>
  <c r="I2" i="20" s="1"/>
  <c r="U194" i="17"/>
  <c r="U146" i="17" s="1"/>
  <c r="Y104" i="17"/>
  <c r="Y114" i="17" s="1"/>
  <c r="V186" i="17"/>
  <c r="V240" i="17" s="1"/>
  <c r="Z136" i="17"/>
  <c r="Z138" i="17" s="1"/>
  <c r="Z139" i="17" s="1"/>
  <c r="Z143" i="17" s="1"/>
  <c r="X163" i="17"/>
  <c r="Y161" i="17"/>
  <c r="W204" i="17"/>
  <c r="W208" i="17" s="1"/>
  <c r="W223" i="17"/>
  <c r="W227" i="17" s="1"/>
  <c r="W184" i="17"/>
  <c r="W188" i="17" s="1"/>
  <c r="V206" i="17"/>
  <c r="V214" i="17" s="1"/>
  <c r="T251" i="17"/>
  <c r="T255" i="17" s="1"/>
  <c r="T150" i="17" s="1"/>
  <c r="T155" i="17" s="1"/>
  <c r="Y138" i="17"/>
  <c r="Y139" i="17" s="1"/>
  <c r="Y143" i="17" s="1"/>
  <c r="Z101" i="17"/>
  <c r="Z103" i="17" s="1"/>
  <c r="Z100" i="17"/>
  <c r="Z102" i="17" s="1"/>
  <c r="AA53" i="17"/>
  <c r="AA55" i="17" s="1"/>
  <c r="AA98" i="17"/>
  <c r="AB6" i="17"/>
  <c r="AB52" i="17" s="1"/>
  <c r="AA99" i="17"/>
  <c r="W15" i="5"/>
  <c r="W16" i="5" s="1"/>
  <c r="W15" i="7"/>
  <c r="W16" i="7" s="1"/>
  <c r="S20" i="4"/>
  <c r="S17" i="4"/>
  <c r="S33" i="5"/>
  <c r="S35" i="7"/>
  <c r="S34" i="5"/>
  <c r="S36" i="7"/>
  <c r="V144" i="17"/>
  <c r="V156" i="17" s="1"/>
  <c r="T22" i="5"/>
  <c r="U147" i="17"/>
  <c r="U212" i="17"/>
  <c r="AA89" i="17"/>
  <c r="X77" i="17"/>
  <c r="X75" i="17"/>
  <c r="X120" i="17"/>
  <c r="X162" i="17"/>
  <c r="X164" i="17" s="1"/>
  <c r="Y107" i="17"/>
  <c r="Z57" i="17"/>
  <c r="Z58" i="17" s="1"/>
  <c r="Z68" i="17" s="1"/>
  <c r="AB89" i="17"/>
  <c r="W224" i="17"/>
  <c r="W228" i="17" s="1"/>
  <c r="W185" i="17"/>
  <c r="W189" i="17" s="1"/>
  <c r="W205" i="17"/>
  <c r="W209" i="17" s="1"/>
  <c r="U243" i="17"/>
  <c r="U252" i="17"/>
  <c r="Y74" i="17"/>
  <c r="Z61" i="17"/>
  <c r="X23" i="5" s="1"/>
  <c r="S151" i="17"/>
  <c r="W123" i="17"/>
  <c r="R3" i="20" s="1"/>
  <c r="W121" i="17"/>
  <c r="T39" i="4" s="1"/>
  <c r="W126" i="17"/>
  <c r="W128" i="17" s="1"/>
  <c r="T242" i="17" l="1"/>
  <c r="T246" i="17" s="1"/>
  <c r="T149" i="17" s="1"/>
  <c r="T151" i="17" s="1"/>
  <c r="AB54" i="17"/>
  <c r="AB56" i="17" s="1"/>
  <c r="X27" i="4"/>
  <c r="U253" i="17"/>
  <c r="U251" i="17" s="1"/>
  <c r="U255" i="17" s="1"/>
  <c r="U150" i="17" s="1"/>
  <c r="U155" i="17" s="1"/>
  <c r="V194" i="17"/>
  <c r="V146" i="17" s="1"/>
  <c r="M4" i="4"/>
  <c r="M8" i="5"/>
  <c r="M8" i="7"/>
  <c r="J2" i="20" s="1"/>
  <c r="W225" i="17"/>
  <c r="W233" i="17" s="1"/>
  <c r="W148" i="17" s="1"/>
  <c r="V241" i="17"/>
  <c r="V244" i="17" s="1"/>
  <c r="W206" i="17"/>
  <c r="W241" i="17" s="1"/>
  <c r="W186" i="17"/>
  <c r="W240" i="17" s="1"/>
  <c r="AA136" i="17"/>
  <c r="AA138" i="17" s="1"/>
  <c r="AA139" i="17" s="1"/>
  <c r="AA143" i="17" s="1"/>
  <c r="Y163" i="17"/>
  <c r="Z161" i="17"/>
  <c r="X223" i="17"/>
  <c r="X227" i="17" s="1"/>
  <c r="X184" i="17"/>
  <c r="X188" i="17" s="1"/>
  <c r="X204" i="17"/>
  <c r="X208" i="17" s="1"/>
  <c r="Z104" i="17"/>
  <c r="Z114" i="17" s="1"/>
  <c r="AA101" i="17"/>
  <c r="AA103" i="17" s="1"/>
  <c r="U242" i="17"/>
  <c r="U246" i="17" s="1"/>
  <c r="U149" i="17" s="1"/>
  <c r="AA100" i="17"/>
  <c r="AA102" i="17" s="1"/>
  <c r="X15" i="5"/>
  <c r="X16" i="5" s="1"/>
  <c r="X15" i="7"/>
  <c r="AB53" i="17"/>
  <c r="AB55" i="17" s="1"/>
  <c r="AB57" i="17" s="1"/>
  <c r="AB99" i="17"/>
  <c r="AB98" i="17"/>
  <c r="T34" i="5"/>
  <c r="T36" i="7"/>
  <c r="W144" i="17"/>
  <c r="W156" i="17" s="1"/>
  <c r="U22" i="5"/>
  <c r="T33" i="5"/>
  <c r="T35" i="7"/>
  <c r="T20" i="4"/>
  <c r="T17" i="4"/>
  <c r="X205" i="17"/>
  <c r="X209" i="17" s="1"/>
  <c r="X185" i="17"/>
  <c r="X189" i="17" s="1"/>
  <c r="X224" i="17"/>
  <c r="X126" i="17"/>
  <c r="X128" i="17" s="1"/>
  <c r="X121" i="17"/>
  <c r="U39" i="4" s="1"/>
  <c r="X123" i="17"/>
  <c r="S3" i="20" s="1"/>
  <c r="V252" i="17"/>
  <c r="V243" i="17"/>
  <c r="Z74" i="17"/>
  <c r="AA61" i="17"/>
  <c r="Y23" i="5" s="1"/>
  <c r="AA23" i="5" s="1"/>
  <c r="V147" i="17"/>
  <c r="V212" i="17"/>
  <c r="Y75" i="17"/>
  <c r="Y77" i="17"/>
  <c r="AA57" i="17"/>
  <c r="AA58" i="17" s="1"/>
  <c r="AA68" i="17" s="1"/>
  <c r="Y120" i="17"/>
  <c r="Y162" i="17"/>
  <c r="Y164" i="17" s="1"/>
  <c r="Z107" i="17"/>
  <c r="C64" i="4"/>
  <c r="E36" i="5" s="1"/>
  <c r="AB58" i="17" l="1"/>
  <c r="AB68" i="17" s="1"/>
  <c r="W194" i="17"/>
  <c r="W146" i="17" s="1"/>
  <c r="U151" i="17"/>
  <c r="X225" i="17"/>
  <c r="X233" i="17" s="1"/>
  <c r="X148" i="17" s="1"/>
  <c r="X228" i="17"/>
  <c r="V253" i="17"/>
  <c r="V251" i="17" s="1"/>
  <c r="V255" i="17" s="1"/>
  <c r="V150" i="17" s="1"/>
  <c r="V155" i="17" s="1"/>
  <c r="N4" i="4"/>
  <c r="N8" i="5"/>
  <c r="N8" i="7"/>
  <c r="K2" i="20" s="1"/>
  <c r="W214" i="17"/>
  <c r="W147" i="17" s="1"/>
  <c r="X186" i="17"/>
  <c r="X194" i="17" s="1"/>
  <c r="X146" i="17" s="1"/>
  <c r="Z163" i="17"/>
  <c r="AA161" i="17"/>
  <c r="X206" i="17"/>
  <c r="X214" i="17" s="1"/>
  <c r="Y223" i="17"/>
  <c r="Y227" i="17" s="1"/>
  <c r="Y184" i="17"/>
  <c r="Y188" i="17" s="1"/>
  <c r="Y204" i="17"/>
  <c r="Y208" i="17" s="1"/>
  <c r="AA104" i="17"/>
  <c r="AA114" i="17" s="1"/>
  <c r="AB100" i="17"/>
  <c r="AB102" i="17" s="1"/>
  <c r="AB101" i="17"/>
  <c r="AB103" i="17" s="1"/>
  <c r="V242" i="17"/>
  <c r="V246" i="17" s="1"/>
  <c r="V149" i="17" s="1"/>
  <c r="AB136" i="17"/>
  <c r="AB138" i="17" s="1"/>
  <c r="AB139" i="17" s="1"/>
  <c r="AB143" i="17" s="1"/>
  <c r="AC143" i="17" s="1"/>
  <c r="Y15" i="5"/>
  <c r="Y15" i="7"/>
  <c r="X16" i="7"/>
  <c r="X14" i="7" s="1"/>
  <c r="U33" i="5"/>
  <c r="U35" i="7"/>
  <c r="X144" i="17"/>
  <c r="X156" i="17" s="1"/>
  <c r="V22" i="5"/>
  <c r="U34" i="5"/>
  <c r="U36" i="7"/>
  <c r="U17" i="4"/>
  <c r="U20" i="4"/>
  <c r="E32" i="5"/>
  <c r="AA36" i="5"/>
  <c r="Y123" i="17"/>
  <c r="T3" i="20" s="1"/>
  <c r="Y126" i="17"/>
  <c r="Y128" i="17" s="1"/>
  <c r="Y121" i="17"/>
  <c r="V39" i="4" s="1"/>
  <c r="W243" i="17"/>
  <c r="W252" i="17"/>
  <c r="W253" i="17"/>
  <c r="W244" i="17"/>
  <c r="Z120" i="17"/>
  <c r="Z162" i="17"/>
  <c r="Z164" i="17" s="1"/>
  <c r="AA107" i="17"/>
  <c r="AA74" i="17"/>
  <c r="AB61" i="17"/>
  <c r="Y205" i="17"/>
  <c r="Y209" i="17" s="1"/>
  <c r="Y224" i="17"/>
  <c r="Y228" i="17" s="1"/>
  <c r="Y185" i="17"/>
  <c r="Z77" i="17"/>
  <c r="Z75" i="17"/>
  <c r="D68" i="4"/>
  <c r="E67" i="4"/>
  <c r="F29" i="5" s="1"/>
  <c r="K18" i="19" s="1"/>
  <c r="I14" i="7"/>
  <c r="AB74" i="17" l="1"/>
  <c r="AB75" i="17" s="1"/>
  <c r="W212" i="17"/>
  <c r="X240" i="17"/>
  <c r="X243" i="17" s="1"/>
  <c r="O4" i="4"/>
  <c r="O8" i="5"/>
  <c r="O8" i="7"/>
  <c r="L2" i="20" s="1"/>
  <c r="AB104" i="17"/>
  <c r="AB114" i="17" s="1"/>
  <c r="Y186" i="17"/>
  <c r="Y240" i="17" s="1"/>
  <c r="Y189" i="17"/>
  <c r="Y206" i="17"/>
  <c r="Y241" i="17" s="1"/>
  <c r="X241" i="17"/>
  <c r="X253" i="17" s="1"/>
  <c r="AA163" i="17"/>
  <c r="AB161" i="17"/>
  <c r="AB163" i="17" s="1"/>
  <c r="Z204" i="17"/>
  <c r="Z208" i="17" s="1"/>
  <c r="Z184" i="17"/>
  <c r="Z188" i="17" s="1"/>
  <c r="Z223" i="17"/>
  <c r="Z227" i="17" s="1"/>
  <c r="Y225" i="17"/>
  <c r="Y233" i="17" s="1"/>
  <c r="Y148" i="17" s="1"/>
  <c r="V151" i="17"/>
  <c r="Y16" i="7"/>
  <c r="Y14" i="7" s="1"/>
  <c r="Y16" i="5"/>
  <c r="AA16" i="5" s="1"/>
  <c r="AA15" i="5"/>
  <c r="Y144" i="17"/>
  <c r="Y156" i="17" s="1"/>
  <c r="V33" i="5"/>
  <c r="V35" i="7"/>
  <c r="V20" i="4"/>
  <c r="V17" i="4"/>
  <c r="V34" i="5"/>
  <c r="V36" i="7"/>
  <c r="W251" i="17"/>
  <c r="W255" i="17" s="1"/>
  <c r="W150" i="17" s="1"/>
  <c r="W155" i="17" s="1"/>
  <c r="AA75" i="17"/>
  <c r="AA77" i="17"/>
  <c r="W242" i="17"/>
  <c r="W246" i="17" s="1"/>
  <c r="W149" i="17" s="1"/>
  <c r="AA120" i="17"/>
  <c r="AA162" i="17"/>
  <c r="AA164" i="17" s="1"/>
  <c r="AB107" i="17"/>
  <c r="Z205" i="17"/>
  <c r="Z224" i="17"/>
  <c r="Z228" i="17" s="1"/>
  <c r="Z185" i="17"/>
  <c r="Z121" i="17"/>
  <c r="W39" i="4" s="1"/>
  <c r="Z123" i="17"/>
  <c r="U3" i="20" s="1"/>
  <c r="Z126" i="17"/>
  <c r="Z128" i="17" s="1"/>
  <c r="X147" i="17"/>
  <c r="X212" i="17"/>
  <c r="F67" i="4"/>
  <c r="G29" i="5" s="1"/>
  <c r="L18" i="19" s="1"/>
  <c r="E68" i="4"/>
  <c r="D69" i="4"/>
  <c r="E30" i="5" s="1"/>
  <c r="E26" i="5" s="1"/>
  <c r="T14" i="7"/>
  <c r="J14" i="7"/>
  <c r="AB77" i="17" l="1"/>
  <c r="X252" i="17"/>
  <c r="X251" i="17" s="1"/>
  <c r="X255" i="17" s="1"/>
  <c r="X150" i="17" s="1"/>
  <c r="X155" i="17" s="1"/>
  <c r="Y194" i="17"/>
  <c r="Y146" i="17" s="1"/>
  <c r="AB127" i="17"/>
  <c r="AB145" i="17" s="1"/>
  <c r="AC145" i="17" s="1"/>
  <c r="AE143" i="17" s="1"/>
  <c r="D76" i="17"/>
  <c r="Y214" i="17"/>
  <c r="Y212" i="17" s="1"/>
  <c r="X244" i="17"/>
  <c r="X242" i="17" s="1"/>
  <c r="X246" i="17" s="1"/>
  <c r="X149" i="17" s="1"/>
  <c r="P4" i="4"/>
  <c r="P8" i="5"/>
  <c r="P8" i="7"/>
  <c r="M2" i="20" s="1"/>
  <c r="Z206" i="17"/>
  <c r="Z241" i="17" s="1"/>
  <c r="Z209" i="17"/>
  <c r="Z186" i="17"/>
  <c r="Z240" i="17" s="1"/>
  <c r="Z189" i="17"/>
  <c r="Z225" i="17"/>
  <c r="Z233" i="17" s="1"/>
  <c r="Z148" i="17" s="1"/>
  <c r="AB184" i="17"/>
  <c r="AB188" i="17" s="1"/>
  <c r="AB204" i="17"/>
  <c r="AB208" i="17" s="1"/>
  <c r="AB223" i="17"/>
  <c r="AB227" i="17" s="1"/>
  <c r="AA204" i="17"/>
  <c r="AA208" i="17" s="1"/>
  <c r="AA184" i="17"/>
  <c r="AA188" i="17" s="1"/>
  <c r="AA223" i="17"/>
  <c r="AA227" i="17" s="1"/>
  <c r="W17" i="4"/>
  <c r="W20" i="4"/>
  <c r="W34" i="5"/>
  <c r="W36" i="7"/>
  <c r="Z144" i="17"/>
  <c r="Z156" i="17" s="1"/>
  <c r="W33" i="5"/>
  <c r="W35" i="7"/>
  <c r="W22" i="5"/>
  <c r="W22" i="7"/>
  <c r="Y243" i="17"/>
  <c r="Y252" i="17"/>
  <c r="AB120" i="17"/>
  <c r="AB162" i="17"/>
  <c r="AB164" i="17" s="1"/>
  <c r="AA185" i="17"/>
  <c r="AA189" i="17" s="1"/>
  <c r="AA224" i="17"/>
  <c r="AA228" i="17" s="1"/>
  <c r="AA205" i="17"/>
  <c r="Y244" i="17"/>
  <c r="Y253" i="17"/>
  <c r="AA121" i="17"/>
  <c r="X39" i="4" s="1"/>
  <c r="AA123" i="17"/>
  <c r="V3" i="20" s="1"/>
  <c r="AA126" i="17"/>
  <c r="AA128" i="17" s="1"/>
  <c r="W151" i="17"/>
  <c r="G67" i="4"/>
  <c r="H29" i="5" s="1"/>
  <c r="M18" i="19" s="1"/>
  <c r="E69" i="4"/>
  <c r="F30" i="5" s="1"/>
  <c r="F26" i="5" s="1"/>
  <c r="F68" i="4"/>
  <c r="K14" i="7"/>
  <c r="Y147" i="17" l="1"/>
  <c r="Z214" i="17"/>
  <c r="Z147" i="17" s="1"/>
  <c r="Z194" i="17"/>
  <c r="Z146" i="17" s="1"/>
  <c r="D229" i="17"/>
  <c r="D210" i="17"/>
  <c r="Q4" i="4"/>
  <c r="Q8" i="5"/>
  <c r="Q8" i="7"/>
  <c r="N2" i="20" s="1"/>
  <c r="AA206" i="17"/>
  <c r="AA214" i="17" s="1"/>
  <c r="AA209" i="17"/>
  <c r="X151" i="17"/>
  <c r="D190" i="17"/>
  <c r="AA225" i="17"/>
  <c r="AA233" i="17" s="1"/>
  <c r="AA148" i="17" s="1"/>
  <c r="AA186" i="17"/>
  <c r="AA240" i="17" s="1"/>
  <c r="W34" i="7"/>
  <c r="W33" i="7" s="1"/>
  <c r="X22" i="5"/>
  <c r="X22" i="7"/>
  <c r="AA144" i="17"/>
  <c r="AA156" i="17" s="1"/>
  <c r="X20" i="4"/>
  <c r="X17" i="4"/>
  <c r="X34" i="5"/>
  <c r="X36" i="7"/>
  <c r="AA36" i="7" s="1"/>
  <c r="X33" i="5"/>
  <c r="X35" i="7"/>
  <c r="AB185" i="17"/>
  <c r="AB205" i="17"/>
  <c r="AB224" i="17"/>
  <c r="AB126" i="17"/>
  <c r="AB128" i="17" s="1"/>
  <c r="AB121" i="17"/>
  <c r="AB123" i="17"/>
  <c r="Z243" i="17"/>
  <c r="Z252" i="17"/>
  <c r="Z244" i="17"/>
  <c r="Z253" i="17"/>
  <c r="Y251" i="17"/>
  <c r="Y255" i="17" s="1"/>
  <c r="Y150" i="17" s="1"/>
  <c r="Y242" i="17"/>
  <c r="Y246" i="17" s="1"/>
  <c r="Y149" i="17" s="1"/>
  <c r="H67" i="4"/>
  <c r="I29" i="5" s="1"/>
  <c r="G68" i="4"/>
  <c r="F69" i="4"/>
  <c r="G30" i="5" s="1"/>
  <c r="L14" i="7"/>
  <c r="Z212" i="17" l="1"/>
  <c r="Y155" i="17"/>
  <c r="AA241" i="17"/>
  <c r="AA253" i="17" s="1"/>
  <c r="AB144" i="17"/>
  <c r="AB156" i="17" s="1"/>
  <c r="D122" i="17"/>
  <c r="R4" i="4"/>
  <c r="R8" i="5"/>
  <c r="R8" i="7"/>
  <c r="O2" i="20" s="1"/>
  <c r="AB225" i="17"/>
  <c r="AB233" i="17" s="1"/>
  <c r="AB148" i="17" s="1"/>
  <c r="AC148" i="17" s="1"/>
  <c r="AB228" i="17"/>
  <c r="D230" i="17" s="1"/>
  <c r="AB206" i="17"/>
  <c r="AB241" i="17" s="1"/>
  <c r="AB209" i="17"/>
  <c r="D211" i="17" s="1"/>
  <c r="Y151" i="17"/>
  <c r="AA194" i="17"/>
  <c r="AA146" i="17" s="1"/>
  <c r="AB186" i="17"/>
  <c r="AB194" i="17" s="1"/>
  <c r="AB146" i="17" s="1"/>
  <c r="AB189" i="17"/>
  <c r="D191" i="17" s="1"/>
  <c r="W39" i="7"/>
  <c r="W72" i="7"/>
  <c r="T5" i="20" s="1"/>
  <c r="T7" i="20" s="1"/>
  <c r="X34" i="7"/>
  <c r="X72" i="7" s="1"/>
  <c r="U5" i="20" s="1"/>
  <c r="U7" i="20" s="1"/>
  <c r="Y34" i="5"/>
  <c r="AA34" i="5" s="1"/>
  <c r="Y36" i="7"/>
  <c r="Y22" i="5"/>
  <c r="Y22" i="7"/>
  <c r="Y33" i="5"/>
  <c r="Y35" i="7"/>
  <c r="Z251" i="17"/>
  <c r="Z255" i="17" s="1"/>
  <c r="Z150" i="17" s="1"/>
  <c r="Z155" i="17" s="1"/>
  <c r="Z242" i="17"/>
  <c r="Z246" i="17" s="1"/>
  <c r="Z149" i="17" s="1"/>
  <c r="AC144" i="17"/>
  <c r="AE144" i="17" s="1"/>
  <c r="AE145" i="17" s="1"/>
  <c r="AA243" i="17"/>
  <c r="AA252" i="17"/>
  <c r="C129" i="17"/>
  <c r="C130" i="17"/>
  <c r="AA212" i="17"/>
  <c r="AA147" i="17"/>
  <c r="I67" i="4"/>
  <c r="J29" i="5" s="1"/>
  <c r="G69" i="4"/>
  <c r="H30" i="5" s="1"/>
  <c r="H68" i="4"/>
  <c r="M14" i="7"/>
  <c r="AA244" i="17" l="1"/>
  <c r="AB214" i="17"/>
  <c r="AB147" i="17" s="1"/>
  <c r="AC147" i="17" s="1"/>
  <c r="S4" i="4"/>
  <c r="S8" i="5"/>
  <c r="S8" i="7"/>
  <c r="P2" i="20" s="1"/>
  <c r="AB240" i="17"/>
  <c r="AB243" i="17" s="1"/>
  <c r="X33" i="7"/>
  <c r="AA242" i="17"/>
  <c r="AA246" i="17" s="1"/>
  <c r="AA149" i="17" s="1"/>
  <c r="Z151" i="17"/>
  <c r="U16" i="20"/>
  <c r="U11" i="20"/>
  <c r="T16" i="20"/>
  <c r="T11" i="20"/>
  <c r="X39" i="7"/>
  <c r="Y52" i="7"/>
  <c r="Y54" i="7" s="1"/>
  <c r="Y32" i="5"/>
  <c r="AA33" i="5"/>
  <c r="Y21" i="5"/>
  <c r="AA22" i="5"/>
  <c r="Y34" i="7"/>
  <c r="AA251" i="17"/>
  <c r="AA255" i="17" s="1"/>
  <c r="AA150" i="17" s="1"/>
  <c r="AA155" i="17" s="1"/>
  <c r="AB244" i="17"/>
  <c r="AB253" i="17"/>
  <c r="AC146" i="17"/>
  <c r="J67" i="4"/>
  <c r="K29" i="5" s="1"/>
  <c r="I68" i="4"/>
  <c r="H69" i="4"/>
  <c r="I30" i="5" s="1"/>
  <c r="N14" i="7"/>
  <c r="AB212" i="17" l="1"/>
  <c r="T4" i="4"/>
  <c r="T8" i="5"/>
  <c r="T8" i="7"/>
  <c r="Q2" i="20" s="1"/>
  <c r="AB252" i="17"/>
  <c r="AB251" i="17" s="1"/>
  <c r="AB255" i="17" s="1"/>
  <c r="AB150" i="17" s="1"/>
  <c r="Y33" i="7"/>
  <c r="Y39" i="7"/>
  <c r="Y72" i="7"/>
  <c r="Y37" i="5"/>
  <c r="Y61" i="5"/>
  <c r="AB242" i="17"/>
  <c r="AB246" i="17" s="1"/>
  <c r="AB149" i="17" s="1"/>
  <c r="AC149" i="17" s="1"/>
  <c r="AA151" i="17"/>
  <c r="J26" i="7"/>
  <c r="K67" i="4"/>
  <c r="L29" i="5" s="1"/>
  <c r="J68" i="4"/>
  <c r="I69" i="4"/>
  <c r="J30" i="5" s="1"/>
  <c r="O14" i="7"/>
  <c r="U4" i="4" l="1"/>
  <c r="U8" i="5"/>
  <c r="U8" i="7"/>
  <c r="R2" i="20" s="1"/>
  <c r="V4" i="20"/>
  <c r="V6" i="20" s="1"/>
  <c r="Y63" i="5"/>
  <c r="V5" i="20"/>
  <c r="V7" i="20" s="1"/>
  <c r="Y73" i="7"/>
  <c r="K26" i="7"/>
  <c r="AB151" i="17"/>
  <c r="AC150" i="17"/>
  <c r="AC151" i="17" s="1"/>
  <c r="AB155" i="17"/>
  <c r="C154" i="17" s="1"/>
  <c r="L67" i="4"/>
  <c r="M29" i="5" s="1"/>
  <c r="J69" i="4"/>
  <c r="K30" i="5" s="1"/>
  <c r="K68" i="4"/>
  <c r="P14" i="7"/>
  <c r="V8" i="7" l="1"/>
  <c r="S2" i="20" s="1"/>
  <c r="V8" i="5"/>
  <c r="V4" i="4"/>
  <c r="V16" i="20"/>
  <c r="V11" i="20"/>
  <c r="V15" i="20"/>
  <c r="V10" i="20"/>
  <c r="L26" i="7"/>
  <c r="C152" i="17"/>
  <c r="C153" i="17"/>
  <c r="M67" i="4"/>
  <c r="N29" i="5" s="1"/>
  <c r="K69" i="4"/>
  <c r="L30" i="5" s="1"/>
  <c r="L68" i="4"/>
  <c r="Q14" i="7"/>
  <c r="W8" i="5" l="1"/>
  <c r="W4" i="4"/>
  <c r="W8" i="7"/>
  <c r="T2" i="20" s="1"/>
  <c r="M26" i="7"/>
  <c r="F22" i="7"/>
  <c r="L69" i="4"/>
  <c r="M30" i="5" s="1"/>
  <c r="M68" i="4"/>
  <c r="R14" i="7"/>
  <c r="O42" i="5"/>
  <c r="F21" i="5"/>
  <c r="F20" i="5" s="1"/>
  <c r="X8" i="5" l="1"/>
  <c r="X4" i="4"/>
  <c r="X8" i="7"/>
  <c r="U2" i="20" s="1"/>
  <c r="O14" i="5"/>
  <c r="N26" i="7"/>
  <c r="E22" i="7"/>
  <c r="O30" i="7"/>
  <c r="M69" i="4"/>
  <c r="N30" i="5" s="1"/>
  <c r="N68" i="4"/>
  <c r="S14" i="7"/>
  <c r="P42" i="5"/>
  <c r="Y8" i="7" l="1"/>
  <c r="V2" i="20" s="1"/>
  <c r="Y8" i="5"/>
  <c r="P14" i="5"/>
  <c r="H22" i="7"/>
  <c r="O26" i="7"/>
  <c r="G52" i="7"/>
  <c r="G22" i="7"/>
  <c r="P30" i="7"/>
  <c r="N69" i="4"/>
  <c r="O68" i="4"/>
  <c r="Q42" i="5"/>
  <c r="U14" i="7"/>
  <c r="H52" i="7" l="1"/>
  <c r="Q14" i="5"/>
  <c r="P26" i="7"/>
  <c r="Q30" i="7"/>
  <c r="P68" i="4"/>
  <c r="O69" i="4"/>
  <c r="O30" i="5"/>
  <c r="O29" i="5"/>
  <c r="V14" i="7"/>
  <c r="R42" i="5"/>
  <c r="Q26" i="7" l="1"/>
  <c r="R14" i="5"/>
  <c r="J22" i="7"/>
  <c r="I22" i="7"/>
  <c r="O26" i="5"/>
  <c r="R30" i="7"/>
  <c r="P30" i="5"/>
  <c r="P29" i="5"/>
  <c r="P69" i="4"/>
  <c r="Q68" i="4"/>
  <c r="S42" i="5"/>
  <c r="W14" i="7"/>
  <c r="K22" i="7"/>
  <c r="R26" i="7" l="1"/>
  <c r="S14" i="5"/>
  <c r="I52" i="7"/>
  <c r="S30" i="7"/>
  <c r="Q69" i="4"/>
  <c r="R68" i="4"/>
  <c r="Q30" i="5"/>
  <c r="Q29" i="5"/>
  <c r="P26" i="5"/>
  <c r="T42" i="5"/>
  <c r="S26" i="7" l="1"/>
  <c r="T14" i="5"/>
  <c r="K52" i="7"/>
  <c r="J52" i="7"/>
  <c r="Q26" i="5"/>
  <c r="T76" i="4"/>
  <c r="T30" i="7"/>
  <c r="R69" i="4"/>
  <c r="S68" i="4"/>
  <c r="R29" i="5"/>
  <c r="R30" i="5"/>
  <c r="U42" i="5"/>
  <c r="M22" i="7"/>
  <c r="U14" i="5" l="1"/>
  <c r="L22" i="7"/>
  <c r="T26" i="7"/>
  <c r="U76" i="4"/>
  <c r="T77" i="4"/>
  <c r="U30" i="7" s="1"/>
  <c r="R26" i="5"/>
  <c r="T68" i="4"/>
  <c r="S69" i="4"/>
  <c r="S29" i="5"/>
  <c r="S30" i="5"/>
  <c r="V42" i="5"/>
  <c r="W21" i="7" l="1"/>
  <c r="V14" i="5"/>
  <c r="N22" i="7"/>
  <c r="U26" i="7"/>
  <c r="M52" i="7"/>
  <c r="L52" i="7"/>
  <c r="U77" i="4"/>
  <c r="V30" i="7" s="1"/>
  <c r="V76" i="4"/>
  <c r="S26" i="5"/>
  <c r="T29" i="5"/>
  <c r="T30" i="5"/>
  <c r="T69" i="4"/>
  <c r="U68" i="4"/>
  <c r="W42" i="5"/>
  <c r="AA23" i="7"/>
  <c r="V26" i="7" l="1"/>
  <c r="Y21" i="7"/>
  <c r="X21" i="7"/>
  <c r="Y26" i="5"/>
  <c r="Y20" i="5" s="1"/>
  <c r="W14" i="5"/>
  <c r="N21" i="5"/>
  <c r="O22" i="7"/>
  <c r="Y58" i="7"/>
  <c r="V77" i="4"/>
  <c r="W30" i="7" s="1"/>
  <c r="W26" i="7" s="1"/>
  <c r="W20" i="7" s="1"/>
  <c r="W40" i="7" s="1"/>
  <c r="W76" i="4"/>
  <c r="W77" i="4" s="1"/>
  <c r="X30" i="7" s="1"/>
  <c r="V68" i="4"/>
  <c r="U69" i="4"/>
  <c r="U30" i="5"/>
  <c r="U29" i="5"/>
  <c r="T26" i="5"/>
  <c r="X42" i="5"/>
  <c r="P22" i="7"/>
  <c r="Y63" i="7" l="1"/>
  <c r="Y67" i="7"/>
  <c r="Y68" i="7" s="1"/>
  <c r="Y26" i="7"/>
  <c r="Y20" i="7" s="1"/>
  <c r="Y40" i="7" s="1"/>
  <c r="Y45" i="7" s="1"/>
  <c r="X26" i="7"/>
  <c r="X20" i="7" s="1"/>
  <c r="X40" i="7" s="1"/>
  <c r="X14" i="5"/>
  <c r="Y14" i="5"/>
  <c r="O21" i="5"/>
  <c r="O20" i="5" s="1"/>
  <c r="N52" i="7"/>
  <c r="U26" i="5"/>
  <c r="V29" i="5"/>
  <c r="V30" i="5"/>
  <c r="W68" i="4"/>
  <c r="W69" i="4" s="1"/>
  <c r="V69" i="4"/>
  <c r="Q22" i="7"/>
  <c r="F48" i="11"/>
  <c r="F47" i="11"/>
  <c r="H40" i="11"/>
  <c r="F39" i="11"/>
  <c r="H30" i="11"/>
  <c r="F32" i="6"/>
  <c r="G32" i="6"/>
  <c r="H32" i="6"/>
  <c r="I32" i="6"/>
  <c r="J32" i="6"/>
  <c r="K32" i="6"/>
  <c r="L32" i="6"/>
  <c r="M32" i="6"/>
  <c r="N32" i="6"/>
  <c r="O32" i="6"/>
  <c r="E32" i="6"/>
  <c r="K97" i="8"/>
  <c r="K98" i="8"/>
  <c r="K96" i="8"/>
  <c r="J98" i="8"/>
  <c r="J97" i="8"/>
  <c r="J96" i="8"/>
  <c r="D148" i="8"/>
  <c r="D149" i="8"/>
  <c r="D150" i="8"/>
  <c r="D151" i="8"/>
  <c r="D152" i="8"/>
  <c r="D153" i="8"/>
  <c r="D154" i="8"/>
  <c r="D155" i="8"/>
  <c r="D156" i="8"/>
  <c r="D157" i="8"/>
  <c r="D158" i="8"/>
  <c r="D159" i="8"/>
  <c r="D160" i="8"/>
  <c r="D161" i="8"/>
  <c r="D162" i="8"/>
  <c r="D163" i="8"/>
  <c r="D164" i="8"/>
  <c r="D165" i="8"/>
  <c r="D166" i="8"/>
  <c r="D147" i="8"/>
  <c r="Y62" i="5" l="1"/>
  <c r="Y38" i="5"/>
  <c r="P52" i="7"/>
  <c r="O52" i="7"/>
  <c r="O32" i="5"/>
  <c r="W30" i="5"/>
  <c r="W29" i="5"/>
  <c r="X30" i="5"/>
  <c r="X29" i="5"/>
  <c r="V26" i="5"/>
  <c r="P21" i="5"/>
  <c r="P20" i="5" s="1"/>
  <c r="R22" i="7"/>
  <c r="Q106" i="12"/>
  <c r="F8" i="6"/>
  <c r="G8" i="6"/>
  <c r="H8" i="6"/>
  <c r="I8" i="6"/>
  <c r="J8" i="6"/>
  <c r="K8" i="6"/>
  <c r="L8" i="6"/>
  <c r="M8" i="6"/>
  <c r="N8" i="6"/>
  <c r="F9" i="6"/>
  <c r="G9" i="6"/>
  <c r="H9" i="6"/>
  <c r="I9" i="6"/>
  <c r="J9" i="6"/>
  <c r="K9" i="6"/>
  <c r="L9" i="6"/>
  <c r="M9" i="6"/>
  <c r="N9" i="6"/>
  <c r="F10" i="6"/>
  <c r="G10" i="6"/>
  <c r="H10" i="6"/>
  <c r="I10" i="6"/>
  <c r="J10" i="6"/>
  <c r="K10" i="6"/>
  <c r="L10" i="6"/>
  <c r="M10" i="6"/>
  <c r="N10" i="6"/>
  <c r="F8" i="7"/>
  <c r="C2" i="20" s="1"/>
  <c r="G8" i="7"/>
  <c r="D2" i="20" s="1"/>
  <c r="H8" i="7"/>
  <c r="E2" i="20" s="1"/>
  <c r="I8" i="7"/>
  <c r="F2" i="20" s="1"/>
  <c r="J8" i="7"/>
  <c r="G2" i="20" s="1"/>
  <c r="F10" i="7"/>
  <c r="G10" i="7"/>
  <c r="H10" i="7"/>
  <c r="I10" i="7"/>
  <c r="J10" i="7"/>
  <c r="F8" i="12"/>
  <c r="G8" i="12"/>
  <c r="H8" i="12"/>
  <c r="I8" i="12"/>
  <c r="J8" i="12"/>
  <c r="K8" i="12"/>
  <c r="L8" i="12"/>
  <c r="M8" i="12"/>
  <c r="N8" i="12"/>
  <c r="F9" i="12"/>
  <c r="G9" i="12"/>
  <c r="H9" i="12"/>
  <c r="I9" i="12"/>
  <c r="J9" i="12"/>
  <c r="K9" i="12"/>
  <c r="L9" i="12"/>
  <c r="M9" i="12"/>
  <c r="N9" i="12"/>
  <c r="F10" i="12"/>
  <c r="G10" i="12"/>
  <c r="H10" i="12"/>
  <c r="I10" i="12"/>
  <c r="J10" i="12"/>
  <c r="K10" i="12"/>
  <c r="L10" i="12"/>
  <c r="M10" i="12"/>
  <c r="N10" i="12"/>
  <c r="E10" i="12"/>
  <c r="E9" i="12"/>
  <c r="E8" i="12"/>
  <c r="E10" i="7"/>
  <c r="E8" i="7"/>
  <c r="E10" i="6"/>
  <c r="E9" i="6"/>
  <c r="E8" i="6"/>
  <c r="F9" i="13"/>
  <c r="G9" i="13"/>
  <c r="H9" i="13"/>
  <c r="I9" i="13"/>
  <c r="J9" i="13"/>
  <c r="K9" i="13"/>
  <c r="L9" i="13"/>
  <c r="M9" i="13"/>
  <c r="N9" i="13"/>
  <c r="E9" i="13"/>
  <c r="F10" i="5"/>
  <c r="G10" i="5"/>
  <c r="H10" i="5"/>
  <c r="I10" i="5"/>
  <c r="J10" i="5"/>
  <c r="K10" i="5"/>
  <c r="L10" i="5"/>
  <c r="M10" i="5"/>
  <c r="N10" i="5"/>
  <c r="E10" i="5"/>
  <c r="F8" i="5"/>
  <c r="G8" i="5"/>
  <c r="E2" i="13"/>
  <c r="O10" i="13"/>
  <c r="O41" i="13" s="1"/>
  <c r="F10" i="13"/>
  <c r="G10" i="13"/>
  <c r="H10" i="13"/>
  <c r="I10" i="13"/>
  <c r="J10" i="13"/>
  <c r="K10" i="13"/>
  <c r="L10" i="13"/>
  <c r="M10" i="13"/>
  <c r="N10" i="13"/>
  <c r="E10" i="13"/>
  <c r="I16" i="9"/>
  <c r="F16" i="9"/>
  <c r="F22" i="9"/>
  <c r="F20" i="9"/>
  <c r="F18" i="9"/>
  <c r="J131" i="8"/>
  <c r="J107" i="8"/>
  <c r="G95" i="8"/>
  <c r="B95" i="8" s="1"/>
  <c r="J32" i="8"/>
  <c r="H32" i="8"/>
  <c r="J31" i="8"/>
  <c r="H31" i="8"/>
  <c r="J30" i="8"/>
  <c r="H30" i="8"/>
  <c r="J29" i="8"/>
  <c r="H29" i="8"/>
  <c r="J28" i="8"/>
  <c r="H28" i="8"/>
  <c r="J26" i="8"/>
  <c r="H26" i="8"/>
  <c r="J25" i="8"/>
  <c r="H25" i="8"/>
  <c r="J24" i="8"/>
  <c r="H24" i="8"/>
  <c r="J23" i="8"/>
  <c r="H23" i="8"/>
  <c r="J22" i="8"/>
  <c r="H22" i="8"/>
  <c r="Q60" i="13"/>
  <c r="H7" i="10" s="1"/>
  <c r="Q49" i="13"/>
  <c r="Q48" i="13"/>
  <c r="Q47" i="13"/>
  <c r="O46" i="13"/>
  <c r="N46" i="13"/>
  <c r="M46" i="13"/>
  <c r="L46" i="13"/>
  <c r="K46" i="13"/>
  <c r="J46" i="13"/>
  <c r="I46" i="13"/>
  <c r="H46" i="13"/>
  <c r="G46" i="13"/>
  <c r="F46" i="13"/>
  <c r="E46" i="13"/>
  <c r="Q35" i="13"/>
  <c r="Q34" i="13"/>
  <c r="Q33" i="13"/>
  <c r="M31" i="13"/>
  <c r="L31" i="13"/>
  <c r="I31" i="13"/>
  <c r="H31" i="13"/>
  <c r="O31" i="13"/>
  <c r="N31" i="13"/>
  <c r="K31" i="13"/>
  <c r="J31" i="13"/>
  <c r="G31" i="13"/>
  <c r="F31" i="13"/>
  <c r="Q29" i="13"/>
  <c r="Q28" i="13"/>
  <c r="Q27" i="13"/>
  <c r="Q26" i="13"/>
  <c r="O25" i="13"/>
  <c r="N25" i="13"/>
  <c r="M25" i="13"/>
  <c r="L25" i="13"/>
  <c r="K25" i="13"/>
  <c r="J25" i="13"/>
  <c r="I25" i="13"/>
  <c r="H25" i="13"/>
  <c r="G25" i="13"/>
  <c r="F25" i="13"/>
  <c r="E25" i="13"/>
  <c r="Q24" i="13"/>
  <c r="Q23" i="13"/>
  <c r="Q22" i="13"/>
  <c r="Q21" i="13"/>
  <c r="O20" i="13"/>
  <c r="N20" i="13"/>
  <c r="M20" i="13"/>
  <c r="L20" i="13"/>
  <c r="K20" i="13"/>
  <c r="J20" i="13"/>
  <c r="I20" i="13"/>
  <c r="H20" i="13"/>
  <c r="G20" i="13"/>
  <c r="F20" i="13"/>
  <c r="E20" i="13"/>
  <c r="Q17" i="13"/>
  <c r="Q16" i="13"/>
  <c r="Q15" i="13"/>
  <c r="N13" i="13"/>
  <c r="L13" i="13"/>
  <c r="K13" i="13"/>
  <c r="J13" i="13"/>
  <c r="H13" i="13"/>
  <c r="F13" i="13"/>
  <c r="O13" i="13"/>
  <c r="M13" i="13"/>
  <c r="I13" i="13"/>
  <c r="G13" i="13"/>
  <c r="E13" i="13"/>
  <c r="N8" i="13"/>
  <c r="M8" i="13"/>
  <c r="L8" i="13"/>
  <c r="K8" i="13"/>
  <c r="J8" i="13"/>
  <c r="I8" i="13"/>
  <c r="H8" i="13"/>
  <c r="G8" i="13"/>
  <c r="F8" i="13"/>
  <c r="E8" i="13"/>
  <c r="O20" i="9"/>
  <c r="O16" i="9"/>
  <c r="O22" i="9"/>
  <c r="O18" i="9"/>
  <c r="I22" i="9"/>
  <c r="I20" i="9"/>
  <c r="I18" i="9"/>
  <c r="AA30" i="5" l="1"/>
  <c r="AA29" i="5"/>
  <c r="O38" i="5"/>
  <c r="O43" i="5" s="1"/>
  <c r="O61" i="5"/>
  <c r="O37" i="5"/>
  <c r="Y43" i="5"/>
  <c r="Q52" i="7"/>
  <c r="P32" i="5"/>
  <c r="K42" i="5"/>
  <c r="H19" i="13"/>
  <c r="L19" i="13"/>
  <c r="L37" i="13" s="1"/>
  <c r="L55" i="13" s="1"/>
  <c r="W26" i="5"/>
  <c r="X26" i="5"/>
  <c r="K41" i="13"/>
  <c r="K51" i="13" s="1"/>
  <c r="J42" i="5"/>
  <c r="L41" i="13"/>
  <c r="L51" i="13" s="1"/>
  <c r="H42" i="5"/>
  <c r="M42" i="5"/>
  <c r="L42" i="5"/>
  <c r="N41" i="13"/>
  <c r="N51" i="13" s="1"/>
  <c r="F41" i="13"/>
  <c r="F51" i="13" s="1"/>
  <c r="I42" i="5"/>
  <c r="F19" i="13"/>
  <c r="F37" i="13" s="1"/>
  <c r="N19" i="13"/>
  <c r="N37" i="13" s="1"/>
  <c r="K19" i="13"/>
  <c r="K37" i="13" s="1"/>
  <c r="G42" i="5"/>
  <c r="N42" i="5"/>
  <c r="F42" i="5"/>
  <c r="H41" i="13"/>
  <c r="H51" i="13" s="1"/>
  <c r="G41" i="13"/>
  <c r="G51" i="13" s="1"/>
  <c r="J41" i="13"/>
  <c r="J51" i="13" s="1"/>
  <c r="Q9" i="13"/>
  <c r="G19" i="13"/>
  <c r="G37" i="13" s="1"/>
  <c r="O19" i="13"/>
  <c r="O37" i="13" s="1"/>
  <c r="O42" i="13" s="1"/>
  <c r="M41" i="13"/>
  <c r="M51" i="13" s="1"/>
  <c r="I19" i="13"/>
  <c r="I37" i="13" s="1"/>
  <c r="J19" i="13"/>
  <c r="J37" i="13" s="1"/>
  <c r="I41" i="13"/>
  <c r="I51" i="13" s="1"/>
  <c r="Q20" i="13"/>
  <c r="M19" i="13"/>
  <c r="M37" i="13" s="1"/>
  <c r="M55" i="13" s="1"/>
  <c r="E41" i="13"/>
  <c r="E51" i="13" s="1"/>
  <c r="S22" i="7"/>
  <c r="L22" i="8"/>
  <c r="L24" i="8"/>
  <c r="L26" i="8"/>
  <c r="L29" i="8"/>
  <c r="L31" i="8"/>
  <c r="E42" i="5"/>
  <c r="E19" i="13"/>
  <c r="Q32" i="13"/>
  <c r="Q13" i="13"/>
  <c r="H37" i="13"/>
  <c r="H55" i="13" s="1"/>
  <c r="E31" i="13"/>
  <c r="Q31" i="13" s="1"/>
  <c r="Q25" i="13"/>
  <c r="O51" i="13"/>
  <c r="L23" i="8"/>
  <c r="L25" i="8"/>
  <c r="L28" i="8"/>
  <c r="L30" i="8"/>
  <c r="L32" i="8"/>
  <c r="K22" i="8"/>
  <c r="K23" i="8"/>
  <c r="K24" i="8"/>
  <c r="K25" i="8"/>
  <c r="K26" i="8"/>
  <c r="K28" i="8"/>
  <c r="K29" i="8"/>
  <c r="K30" i="8"/>
  <c r="K31" i="8"/>
  <c r="K32" i="8"/>
  <c r="Q46" i="13"/>
  <c r="Q14" i="13"/>
  <c r="E2" i="12"/>
  <c r="E2" i="7"/>
  <c r="E2" i="6"/>
  <c r="E2" i="5"/>
  <c r="O62" i="5" l="1"/>
  <c r="O63" i="5"/>
  <c r="L4" i="20"/>
  <c r="L6" i="20" s="1"/>
  <c r="P38" i="5"/>
  <c r="P43" i="5" s="1"/>
  <c r="P61" i="5"/>
  <c r="P37" i="5"/>
  <c r="Q32" i="5"/>
  <c r="N42" i="13"/>
  <c r="L42" i="13"/>
  <c r="L56" i="13"/>
  <c r="H56" i="13"/>
  <c r="F42" i="13"/>
  <c r="K55" i="13"/>
  <c r="K56" i="13" s="1"/>
  <c r="K42" i="13"/>
  <c r="N55" i="13"/>
  <c r="N56" i="13" s="1"/>
  <c r="O55" i="13"/>
  <c r="O56" i="13" s="1"/>
  <c r="R21" i="5"/>
  <c r="R20" i="5" s="1"/>
  <c r="Q21" i="5"/>
  <c r="Q20" i="5" s="1"/>
  <c r="M56" i="13"/>
  <c r="I42" i="13"/>
  <c r="J55" i="13"/>
  <c r="J56" i="13" s="1"/>
  <c r="J42" i="13"/>
  <c r="G42" i="13"/>
  <c r="G55" i="13"/>
  <c r="G56" i="13" s="1"/>
  <c r="Q19" i="13"/>
  <c r="F55" i="13"/>
  <c r="F56" i="13" s="1"/>
  <c r="I55" i="13"/>
  <c r="I56" i="13" s="1"/>
  <c r="M42" i="13"/>
  <c r="H42" i="13"/>
  <c r="E37" i="13"/>
  <c r="E55" i="13" s="1"/>
  <c r="E53" i="13"/>
  <c r="D7" i="10" s="1"/>
  <c r="Q51" i="13"/>
  <c r="F32" i="5"/>
  <c r="F61" i="5" s="1"/>
  <c r="F63" i="5" s="1"/>
  <c r="G32" i="5"/>
  <c r="Q87" i="12"/>
  <c r="Q88" i="12"/>
  <c r="Q119" i="12"/>
  <c r="H10" i="10" s="1"/>
  <c r="Q68" i="6"/>
  <c r="H8" i="10" s="1"/>
  <c r="J166" i="8"/>
  <c r="J167" i="8"/>
  <c r="J168" i="8"/>
  <c r="J169" i="8"/>
  <c r="J165" i="8"/>
  <c r="J164" i="8"/>
  <c r="H164" i="8"/>
  <c r="F164" i="8"/>
  <c r="J163" i="8"/>
  <c r="J153" i="8"/>
  <c r="J154" i="8"/>
  <c r="J155" i="8"/>
  <c r="J156" i="8"/>
  <c r="J157" i="8"/>
  <c r="J158" i="8"/>
  <c r="J159" i="8"/>
  <c r="J160" i="8"/>
  <c r="J161" i="8"/>
  <c r="J162" i="8"/>
  <c r="J152" i="8"/>
  <c r="J148" i="8"/>
  <c r="J149" i="8"/>
  <c r="J150" i="8"/>
  <c r="J151" i="8"/>
  <c r="J147" i="8"/>
  <c r="H165" i="8"/>
  <c r="H166" i="8"/>
  <c r="H167" i="8"/>
  <c r="H163" i="8"/>
  <c r="H153" i="8"/>
  <c r="H154" i="8"/>
  <c r="H155" i="8"/>
  <c r="H156" i="8"/>
  <c r="H157" i="8"/>
  <c r="H158" i="8"/>
  <c r="H159" i="8"/>
  <c r="H160" i="8"/>
  <c r="H162" i="8"/>
  <c r="H152" i="8"/>
  <c r="H148" i="8"/>
  <c r="H149" i="8"/>
  <c r="H150" i="8"/>
  <c r="H151" i="8"/>
  <c r="H147" i="8"/>
  <c r="Q89" i="12"/>
  <c r="Q108" i="12"/>
  <c r="Q107" i="12"/>
  <c r="Q91" i="12"/>
  <c r="Q56" i="12"/>
  <c r="Q27" i="12"/>
  <c r="Q26" i="12"/>
  <c r="Q25" i="12"/>
  <c r="Q24" i="12"/>
  <c r="Q22" i="12"/>
  <c r="Q21" i="12"/>
  <c r="Q20" i="12"/>
  <c r="Q19" i="12"/>
  <c r="Q17" i="12"/>
  <c r="Q16" i="12"/>
  <c r="Q15" i="12"/>
  <c r="Q14" i="12"/>
  <c r="E105" i="12"/>
  <c r="E92" i="12"/>
  <c r="F57" i="12"/>
  <c r="G57" i="12"/>
  <c r="H57" i="12"/>
  <c r="I57" i="12"/>
  <c r="J57" i="12"/>
  <c r="K57" i="12"/>
  <c r="L57" i="12"/>
  <c r="M57" i="12"/>
  <c r="N57" i="12"/>
  <c r="O57" i="12"/>
  <c r="E57" i="12"/>
  <c r="F92" i="12"/>
  <c r="G92" i="12"/>
  <c r="H92" i="12"/>
  <c r="I92" i="12"/>
  <c r="J92" i="12"/>
  <c r="K92" i="12"/>
  <c r="L92" i="12"/>
  <c r="M92" i="12"/>
  <c r="N92" i="12"/>
  <c r="O92" i="12"/>
  <c r="Q86" i="12"/>
  <c r="O85" i="12"/>
  <c r="N85" i="12"/>
  <c r="M85" i="12"/>
  <c r="L85" i="12"/>
  <c r="K85" i="12"/>
  <c r="J85" i="12"/>
  <c r="I85" i="12"/>
  <c r="H85" i="12"/>
  <c r="G85" i="12"/>
  <c r="F85" i="12"/>
  <c r="E85" i="12"/>
  <c r="Q84" i="12"/>
  <c r="Q83" i="12"/>
  <c r="Q82" i="12"/>
  <c r="Q81" i="12"/>
  <c r="O80" i="12"/>
  <c r="N80" i="12"/>
  <c r="M80" i="12"/>
  <c r="L80" i="12"/>
  <c r="K80" i="12"/>
  <c r="J80" i="12"/>
  <c r="I80" i="12"/>
  <c r="H80" i="12"/>
  <c r="G80" i="12"/>
  <c r="F80" i="12"/>
  <c r="E80" i="12"/>
  <c r="Q77" i="12"/>
  <c r="Q76" i="12"/>
  <c r="Q75" i="12"/>
  <c r="Q74" i="12"/>
  <c r="O73" i="12"/>
  <c r="N73" i="12"/>
  <c r="M73" i="12"/>
  <c r="L73" i="12"/>
  <c r="K73" i="12"/>
  <c r="J73" i="12"/>
  <c r="I73" i="12"/>
  <c r="H73" i="12"/>
  <c r="G73" i="12"/>
  <c r="F73" i="12"/>
  <c r="E73" i="12"/>
  <c r="O23" i="12"/>
  <c r="N23" i="12"/>
  <c r="M23" i="12"/>
  <c r="L23" i="12"/>
  <c r="K23" i="12"/>
  <c r="J23" i="12"/>
  <c r="I23" i="12"/>
  <c r="H23" i="12"/>
  <c r="G23" i="12"/>
  <c r="F23" i="12"/>
  <c r="E23" i="12"/>
  <c r="O13" i="12"/>
  <c r="N13" i="12"/>
  <c r="M13" i="12"/>
  <c r="L13" i="12"/>
  <c r="K13" i="12"/>
  <c r="J13" i="12"/>
  <c r="I13" i="12"/>
  <c r="H13" i="12"/>
  <c r="G13" i="12"/>
  <c r="F13" i="12"/>
  <c r="E13" i="12"/>
  <c r="F18" i="12"/>
  <c r="G18" i="12"/>
  <c r="H18" i="12"/>
  <c r="I18" i="12"/>
  <c r="J18" i="12"/>
  <c r="K18" i="12"/>
  <c r="L18" i="12"/>
  <c r="M18" i="12"/>
  <c r="N18" i="12"/>
  <c r="O18" i="12"/>
  <c r="E18" i="12"/>
  <c r="O105" i="12"/>
  <c r="N105" i="12"/>
  <c r="M105" i="12"/>
  <c r="L105" i="12"/>
  <c r="K105" i="12"/>
  <c r="J105" i="12"/>
  <c r="I105" i="12"/>
  <c r="H105" i="12"/>
  <c r="G105" i="12"/>
  <c r="F105" i="12"/>
  <c r="Q54" i="12"/>
  <c r="Q53" i="12"/>
  <c r="Q52" i="12"/>
  <c r="Q51" i="12"/>
  <c r="O50" i="12"/>
  <c r="N50" i="12"/>
  <c r="M50" i="12"/>
  <c r="L50" i="12"/>
  <c r="K50" i="12"/>
  <c r="J50" i="12"/>
  <c r="I50" i="12"/>
  <c r="H50" i="12"/>
  <c r="G50" i="12"/>
  <c r="F50" i="12"/>
  <c r="E50" i="12"/>
  <c r="Q49" i="12"/>
  <c r="Q48" i="12"/>
  <c r="Q47" i="12"/>
  <c r="Q46" i="12"/>
  <c r="O45" i="12"/>
  <c r="N45" i="12"/>
  <c r="M45" i="12"/>
  <c r="L45" i="12"/>
  <c r="K45" i="12"/>
  <c r="J45" i="12"/>
  <c r="I45" i="12"/>
  <c r="H45" i="12"/>
  <c r="G45" i="12"/>
  <c r="F45" i="12"/>
  <c r="E45" i="12"/>
  <c r="Q42" i="12"/>
  <c r="Q41" i="12"/>
  <c r="Q40" i="12"/>
  <c r="Q39" i="12"/>
  <c r="O38" i="12"/>
  <c r="N38" i="12"/>
  <c r="M38" i="12"/>
  <c r="L38" i="12"/>
  <c r="K38" i="12"/>
  <c r="J38" i="12"/>
  <c r="I38" i="12"/>
  <c r="H38" i="12"/>
  <c r="G38" i="12"/>
  <c r="F38" i="12"/>
  <c r="E38" i="12"/>
  <c r="Q9" i="12"/>
  <c r="E6" i="12"/>
  <c r="K65" i="12" s="1"/>
  <c r="K100" i="12" s="1"/>
  <c r="AA15" i="7"/>
  <c r="E52" i="8" s="1"/>
  <c r="E53" i="8" s="1"/>
  <c r="E54" i="8" s="1"/>
  <c r="K54" i="8" s="1"/>
  <c r="AA16" i="7"/>
  <c r="AA17" i="7"/>
  <c r="AA18" i="7"/>
  <c r="AA27" i="7"/>
  <c r="AA28" i="7"/>
  <c r="AA29" i="7"/>
  <c r="AA30" i="7"/>
  <c r="AA32" i="7"/>
  <c r="AA38" i="7"/>
  <c r="F53" i="7"/>
  <c r="G53" i="7"/>
  <c r="H53" i="7"/>
  <c r="I53" i="7"/>
  <c r="J53" i="7"/>
  <c r="Q14" i="6"/>
  <c r="Q15" i="6"/>
  <c r="Q16" i="6"/>
  <c r="Q17" i="6"/>
  <c r="Q21" i="6"/>
  <c r="Q22" i="6"/>
  <c r="Q23" i="6"/>
  <c r="Q24" i="6"/>
  <c r="Q26" i="6"/>
  <c r="Q27" i="6"/>
  <c r="Q28" i="6"/>
  <c r="Q29" i="6"/>
  <c r="Q33" i="6"/>
  <c r="Q34" i="6"/>
  <c r="Q35" i="6"/>
  <c r="Q49" i="6"/>
  <c r="Q55" i="6"/>
  <c r="Q56" i="6"/>
  <c r="Q57" i="6"/>
  <c r="Q9" i="6"/>
  <c r="E7" i="8"/>
  <c r="E8" i="8" s="1"/>
  <c r="E9" i="8" s="1"/>
  <c r="F165" i="8"/>
  <c r="F166" i="8"/>
  <c r="F167" i="8"/>
  <c r="F163" i="8"/>
  <c r="F153" i="8"/>
  <c r="F154" i="8"/>
  <c r="F155" i="8"/>
  <c r="F156" i="8"/>
  <c r="F157" i="8"/>
  <c r="F158" i="8"/>
  <c r="F159" i="8"/>
  <c r="F160" i="8"/>
  <c r="F161" i="8"/>
  <c r="F162" i="8"/>
  <c r="F152" i="8"/>
  <c r="F148" i="8"/>
  <c r="F149" i="8"/>
  <c r="F150" i="8"/>
  <c r="F151" i="8"/>
  <c r="F147" i="8"/>
  <c r="B164" i="8"/>
  <c r="B165" i="8"/>
  <c r="B166" i="8"/>
  <c r="B167" i="8"/>
  <c r="B163" i="8"/>
  <c r="B160" i="8"/>
  <c r="B162" i="8"/>
  <c r="B154" i="8"/>
  <c r="B155" i="8"/>
  <c r="B156" i="8"/>
  <c r="B157" i="8"/>
  <c r="B158" i="8"/>
  <c r="B159" i="8"/>
  <c r="B153" i="8"/>
  <c r="B152" i="8"/>
  <c r="B151" i="8"/>
  <c r="B150" i="8"/>
  <c r="B149" i="8"/>
  <c r="B148" i="8"/>
  <c r="B147" i="8"/>
  <c r="I26" i="7"/>
  <c r="H26" i="7"/>
  <c r="G26" i="7"/>
  <c r="F26" i="7"/>
  <c r="E26" i="7"/>
  <c r="H14" i="7"/>
  <c r="G14" i="7"/>
  <c r="F14" i="7"/>
  <c r="E14" i="7"/>
  <c r="F31" i="6"/>
  <c r="G31" i="6"/>
  <c r="I31" i="6"/>
  <c r="K31" i="6"/>
  <c r="L31" i="6"/>
  <c r="M31" i="6"/>
  <c r="N31" i="6"/>
  <c r="O31" i="6"/>
  <c r="E31" i="6"/>
  <c r="E6" i="6"/>
  <c r="K41" i="6" s="1"/>
  <c r="K50" i="6" s="1"/>
  <c r="O54" i="6"/>
  <c r="O63" i="6" s="1"/>
  <c r="N54" i="6"/>
  <c r="N63" i="6" s="1"/>
  <c r="M54" i="6"/>
  <c r="M63" i="6" s="1"/>
  <c r="L54" i="6"/>
  <c r="L63" i="6" s="1"/>
  <c r="K54" i="6"/>
  <c r="K63" i="6" s="1"/>
  <c r="J54" i="6"/>
  <c r="J63" i="6" s="1"/>
  <c r="I54" i="6"/>
  <c r="I63" i="6" s="1"/>
  <c r="H54" i="6"/>
  <c r="H63" i="6" s="1"/>
  <c r="G54" i="6"/>
  <c r="G63" i="6" s="1"/>
  <c r="F54" i="6"/>
  <c r="F63" i="6" s="1"/>
  <c r="E54" i="6"/>
  <c r="J31" i="6"/>
  <c r="H31" i="6"/>
  <c r="O25" i="6"/>
  <c r="N25" i="6"/>
  <c r="M25" i="6"/>
  <c r="L25" i="6"/>
  <c r="K25" i="6"/>
  <c r="J25" i="6"/>
  <c r="I25" i="6"/>
  <c r="H25" i="6"/>
  <c r="G25" i="6"/>
  <c r="F25" i="6"/>
  <c r="E25" i="6"/>
  <c r="O20" i="6"/>
  <c r="N20" i="6"/>
  <c r="M20" i="6"/>
  <c r="L20" i="6"/>
  <c r="K20" i="6"/>
  <c r="J20" i="6"/>
  <c r="I20" i="6"/>
  <c r="H20" i="6"/>
  <c r="G20" i="6"/>
  <c r="F20" i="6"/>
  <c r="E20" i="6"/>
  <c r="O13" i="6"/>
  <c r="N13" i="6"/>
  <c r="M13" i="6"/>
  <c r="L13" i="6"/>
  <c r="K13" i="6"/>
  <c r="J13" i="6"/>
  <c r="I13" i="6"/>
  <c r="H13" i="6"/>
  <c r="G13" i="6"/>
  <c r="F13" i="6"/>
  <c r="E13" i="6"/>
  <c r="G26" i="5"/>
  <c r="H26" i="5"/>
  <c r="I26" i="5"/>
  <c r="J26" i="5"/>
  <c r="K26" i="5"/>
  <c r="L26" i="5"/>
  <c r="M26" i="5"/>
  <c r="N26" i="5"/>
  <c r="N20" i="5" s="1"/>
  <c r="G21" i="5"/>
  <c r="H21" i="5"/>
  <c r="I21" i="5"/>
  <c r="J21" i="5"/>
  <c r="K21" i="5"/>
  <c r="L21" i="5"/>
  <c r="M21" i="5"/>
  <c r="E21" i="5"/>
  <c r="F14" i="5"/>
  <c r="G14" i="5"/>
  <c r="H14" i="5"/>
  <c r="I14" i="5"/>
  <c r="J14" i="5"/>
  <c r="K14" i="5"/>
  <c r="L14" i="5"/>
  <c r="M14" i="5"/>
  <c r="N14" i="5"/>
  <c r="E14" i="5"/>
  <c r="K132" i="8"/>
  <c r="K133" i="8"/>
  <c r="K131" i="8"/>
  <c r="J132" i="8"/>
  <c r="J133" i="8"/>
  <c r="K108" i="8"/>
  <c r="K109" i="8"/>
  <c r="K107" i="8"/>
  <c r="J108" i="8"/>
  <c r="J109" i="8"/>
  <c r="H77" i="8"/>
  <c r="H76" i="8"/>
  <c r="K76" i="8" s="1"/>
  <c r="H75" i="8"/>
  <c r="K75" i="8" s="1"/>
  <c r="H74" i="8"/>
  <c r="H73" i="8"/>
  <c r="H71" i="8"/>
  <c r="K71" i="8" s="1"/>
  <c r="H70" i="8"/>
  <c r="K70" i="8" s="1"/>
  <c r="H69" i="8"/>
  <c r="K69" i="8" s="1"/>
  <c r="H68" i="8"/>
  <c r="H67" i="8"/>
  <c r="K67" i="8" s="1"/>
  <c r="H62" i="8"/>
  <c r="K56" i="8"/>
  <c r="K55" i="8"/>
  <c r="H47" i="8"/>
  <c r="K47" i="8" s="1"/>
  <c r="H46" i="8"/>
  <c r="H45" i="8"/>
  <c r="K45" i="8" s="1"/>
  <c r="H44" i="8"/>
  <c r="H43" i="8"/>
  <c r="K43" i="8" s="1"/>
  <c r="H41" i="8"/>
  <c r="K41" i="8" s="1"/>
  <c r="H40" i="8"/>
  <c r="H39" i="8"/>
  <c r="K39" i="8" s="1"/>
  <c r="H38" i="8"/>
  <c r="K38" i="8" s="1"/>
  <c r="H37" i="8"/>
  <c r="H17" i="8"/>
  <c r="H10" i="8"/>
  <c r="H11" i="8"/>
  <c r="K11" i="8" s="1"/>
  <c r="J7" i="8"/>
  <c r="G130" i="8"/>
  <c r="B130" i="8" s="1"/>
  <c r="G118" i="8"/>
  <c r="B118" i="8" s="1"/>
  <c r="G106" i="8"/>
  <c r="B106" i="8" s="1"/>
  <c r="G84" i="8"/>
  <c r="B84" i="8" s="1"/>
  <c r="J77" i="8"/>
  <c r="J76" i="8"/>
  <c r="J75" i="8"/>
  <c r="J74" i="8"/>
  <c r="J73" i="8"/>
  <c r="J71" i="8"/>
  <c r="J70" i="8"/>
  <c r="J69" i="8"/>
  <c r="J68" i="8"/>
  <c r="J67" i="8"/>
  <c r="J62" i="8"/>
  <c r="J61" i="8"/>
  <c r="J60" i="8"/>
  <c r="J59" i="8"/>
  <c r="J58" i="8"/>
  <c r="J56" i="8"/>
  <c r="J55" i="8"/>
  <c r="J52" i="8"/>
  <c r="J47" i="8"/>
  <c r="J46" i="8"/>
  <c r="J45" i="8"/>
  <c r="J44" i="8"/>
  <c r="J43" i="8"/>
  <c r="J41" i="8"/>
  <c r="J40" i="8"/>
  <c r="J39" i="8"/>
  <c r="J38" i="8"/>
  <c r="J37" i="8"/>
  <c r="J17" i="8"/>
  <c r="J16" i="8"/>
  <c r="Y50" i="5" s="1"/>
  <c r="J14" i="8"/>
  <c r="J13" i="8"/>
  <c r="Y49" i="5" s="1"/>
  <c r="J8" i="8"/>
  <c r="J9" i="8"/>
  <c r="J10" i="8"/>
  <c r="J11" i="8"/>
  <c r="F8" i="11"/>
  <c r="I46" i="11"/>
  <c r="H45" i="11"/>
  <c r="G44" i="11"/>
  <c r="F43" i="11"/>
  <c r="F38" i="11"/>
  <c r="F37" i="11"/>
  <c r="I36" i="11"/>
  <c r="H35" i="11"/>
  <c r="G34" i="11"/>
  <c r="F33" i="11"/>
  <c r="F29" i="11"/>
  <c r="I29" i="11" s="1"/>
  <c r="I28" i="11"/>
  <c r="I26" i="11"/>
  <c r="H25" i="11"/>
  <c r="F24" i="11"/>
  <c r="F22" i="11"/>
  <c r="F20" i="11"/>
  <c r="F19" i="11"/>
  <c r="F18" i="11"/>
  <c r="F16" i="11"/>
  <c r="F15" i="11"/>
  <c r="F14" i="11"/>
  <c r="F13" i="11"/>
  <c r="F11" i="11"/>
  <c r="F10" i="11"/>
  <c r="F7" i="11"/>
  <c r="Y47" i="5" l="1"/>
  <c r="Y52" i="5" s="1"/>
  <c r="L15" i="20"/>
  <c r="L10" i="20"/>
  <c r="P62" i="5"/>
  <c r="M4" i="20"/>
  <c r="M6" i="20" s="1"/>
  <c r="P63" i="5"/>
  <c r="C4" i="20"/>
  <c r="C6" i="20" s="1"/>
  <c r="C15" i="20" s="1"/>
  <c r="AA14" i="5"/>
  <c r="F37" i="5"/>
  <c r="F62" i="5"/>
  <c r="Q37" i="5"/>
  <c r="Q61" i="5"/>
  <c r="G61" i="5"/>
  <c r="G37" i="5"/>
  <c r="AA26" i="5"/>
  <c r="E20" i="5"/>
  <c r="T22" i="7"/>
  <c r="K53" i="8"/>
  <c r="E50" i="5"/>
  <c r="F50" i="5"/>
  <c r="H50" i="5"/>
  <c r="G50" i="5"/>
  <c r="I50" i="5"/>
  <c r="J50" i="5"/>
  <c r="K50" i="5"/>
  <c r="L50" i="5"/>
  <c r="M50" i="5"/>
  <c r="N50" i="5"/>
  <c r="O50" i="5"/>
  <c r="P50" i="5"/>
  <c r="Q50" i="5"/>
  <c r="R52" i="7"/>
  <c r="G20" i="5"/>
  <c r="Q38" i="5"/>
  <c r="Q43" i="5" s="1"/>
  <c r="R32" i="5"/>
  <c r="R50" i="5"/>
  <c r="H49" i="5"/>
  <c r="P49" i="5"/>
  <c r="I49" i="5"/>
  <c r="Q49" i="5"/>
  <c r="E49" i="5"/>
  <c r="M49" i="5"/>
  <c r="J49" i="5"/>
  <c r="R49" i="5"/>
  <c r="L49" i="5"/>
  <c r="K49" i="5"/>
  <c r="F49" i="5"/>
  <c r="N49" i="5"/>
  <c r="G49" i="5"/>
  <c r="O49" i="5"/>
  <c r="L7" i="8"/>
  <c r="K17" i="8"/>
  <c r="L17" i="8"/>
  <c r="K52" i="8"/>
  <c r="Q37" i="13"/>
  <c r="S21" i="5"/>
  <c r="S20" i="5" s="1"/>
  <c r="N44" i="7"/>
  <c r="Q44" i="7"/>
  <c r="O44" i="7"/>
  <c r="R44" i="7"/>
  <c r="P44" i="7"/>
  <c r="S44" i="7"/>
  <c r="T44" i="7"/>
  <c r="K44" i="7"/>
  <c r="U44" i="7"/>
  <c r="L44" i="7"/>
  <c r="V44" i="7"/>
  <c r="M44" i="7"/>
  <c r="U22" i="7"/>
  <c r="E42" i="13"/>
  <c r="E44" i="13" s="1"/>
  <c r="C7" i="10" s="1"/>
  <c r="H19" i="6"/>
  <c r="H37" i="6" s="1"/>
  <c r="K9" i="8"/>
  <c r="Q25" i="6"/>
  <c r="AA53" i="7"/>
  <c r="F19" i="6"/>
  <c r="F37" i="6" s="1"/>
  <c r="N19" i="6"/>
  <c r="N37" i="6" s="1"/>
  <c r="E56" i="13"/>
  <c r="Q55" i="13"/>
  <c r="AA26" i="7"/>
  <c r="Q31" i="6"/>
  <c r="Q13" i="6"/>
  <c r="K20" i="5"/>
  <c r="Q20" i="6"/>
  <c r="O19" i="6"/>
  <c r="O37" i="6" s="1"/>
  <c r="E63" i="6"/>
  <c r="Q63" i="6" s="1"/>
  <c r="H32" i="5"/>
  <c r="Q105" i="12"/>
  <c r="Q57" i="12"/>
  <c r="Q23" i="12"/>
  <c r="K110" i="12"/>
  <c r="Q18" i="12"/>
  <c r="Q85" i="12"/>
  <c r="Q92" i="12"/>
  <c r="Q13" i="12"/>
  <c r="M79" i="12"/>
  <c r="H79" i="12"/>
  <c r="L79" i="12"/>
  <c r="K79" i="12"/>
  <c r="F79" i="12"/>
  <c r="N79" i="12"/>
  <c r="I79" i="12"/>
  <c r="J79" i="12"/>
  <c r="O29" i="12"/>
  <c r="G79" i="12"/>
  <c r="O79" i="12"/>
  <c r="H44" i="12"/>
  <c r="Q73" i="12"/>
  <c r="Q80" i="12"/>
  <c r="E79" i="12"/>
  <c r="M29" i="12"/>
  <c r="G29" i="12"/>
  <c r="I29" i="12"/>
  <c r="L29" i="12"/>
  <c r="E29" i="12"/>
  <c r="F29" i="12"/>
  <c r="N29" i="12"/>
  <c r="K29" i="12"/>
  <c r="J29" i="12"/>
  <c r="H29" i="12"/>
  <c r="F44" i="12"/>
  <c r="N44" i="12"/>
  <c r="J44" i="12"/>
  <c r="E44" i="12"/>
  <c r="M44" i="12"/>
  <c r="G44" i="12"/>
  <c r="O44" i="12"/>
  <c r="I44" i="12"/>
  <c r="K44" i="12"/>
  <c r="L44" i="12"/>
  <c r="Q50" i="12"/>
  <c r="Q38" i="12"/>
  <c r="AA14" i="7"/>
  <c r="F65" i="12"/>
  <c r="F100" i="12" s="1"/>
  <c r="F110" i="12" s="1"/>
  <c r="L65" i="12"/>
  <c r="L100" i="12" s="1"/>
  <c r="L110" i="12" s="1"/>
  <c r="E65" i="12"/>
  <c r="E100" i="12" s="1"/>
  <c r="E110" i="12" s="1"/>
  <c r="M65" i="12"/>
  <c r="M100" i="12" s="1"/>
  <c r="M110" i="12" s="1"/>
  <c r="N65" i="12"/>
  <c r="N100" i="12" s="1"/>
  <c r="N110" i="12" s="1"/>
  <c r="G65" i="12"/>
  <c r="G100" i="12" s="1"/>
  <c r="G110" i="12" s="1"/>
  <c r="Q45" i="12"/>
  <c r="H65" i="12"/>
  <c r="H100" i="12" s="1"/>
  <c r="H110" i="12" s="1"/>
  <c r="I65" i="12"/>
  <c r="I100" i="12" s="1"/>
  <c r="I110" i="12" s="1"/>
  <c r="O65" i="12"/>
  <c r="O100" i="12" s="1"/>
  <c r="O110" i="12" s="1"/>
  <c r="J65" i="12"/>
  <c r="J100" i="12" s="1"/>
  <c r="J110" i="12" s="1"/>
  <c r="Q32" i="6"/>
  <c r="Q54" i="6"/>
  <c r="G19" i="6"/>
  <c r="G37" i="6" s="1"/>
  <c r="K19" i="6"/>
  <c r="K37" i="6" s="1"/>
  <c r="K42" i="6" s="1"/>
  <c r="L19" i="6"/>
  <c r="L37" i="6" s="1"/>
  <c r="J44" i="7"/>
  <c r="I44" i="7"/>
  <c r="E44" i="7"/>
  <c r="H44" i="7"/>
  <c r="L76" i="8"/>
  <c r="L56" i="8"/>
  <c r="L40" i="8"/>
  <c r="L8" i="8"/>
  <c r="L11" i="8"/>
  <c r="F44" i="7"/>
  <c r="G44" i="7"/>
  <c r="G54" i="7" s="1"/>
  <c r="M19" i="6"/>
  <c r="M37" i="6" s="1"/>
  <c r="I19" i="6"/>
  <c r="I37" i="6" s="1"/>
  <c r="E19" i="6"/>
  <c r="E37" i="6" s="1"/>
  <c r="J19" i="6"/>
  <c r="J37" i="6" s="1"/>
  <c r="F41" i="6"/>
  <c r="N41" i="6"/>
  <c r="K59" i="6"/>
  <c r="L41" i="6"/>
  <c r="E41" i="6"/>
  <c r="E50" i="6" s="1"/>
  <c r="M41" i="6"/>
  <c r="M50" i="6" s="1"/>
  <c r="G41" i="6"/>
  <c r="O41" i="6"/>
  <c r="I41" i="6"/>
  <c r="J41" i="6"/>
  <c r="J50" i="6" s="1"/>
  <c r="H41" i="6"/>
  <c r="M20" i="5"/>
  <c r="H20" i="5"/>
  <c r="J20" i="5"/>
  <c r="I20" i="5"/>
  <c r="L20" i="5"/>
  <c r="L107" i="8"/>
  <c r="L71" i="8"/>
  <c r="L133" i="8"/>
  <c r="L132" i="8"/>
  <c r="L131" i="8"/>
  <c r="L68" i="8"/>
  <c r="L77" i="8"/>
  <c r="L73" i="8"/>
  <c r="L67" i="8"/>
  <c r="L75" i="8"/>
  <c r="L74" i="8"/>
  <c r="L52" i="8"/>
  <c r="L53" i="8"/>
  <c r="L62" i="8"/>
  <c r="L54" i="8"/>
  <c r="L55" i="8"/>
  <c r="L46" i="8"/>
  <c r="L44" i="8"/>
  <c r="L37" i="8"/>
  <c r="L108" i="8"/>
  <c r="L109" i="8"/>
  <c r="L45" i="8"/>
  <c r="K44" i="8"/>
  <c r="L43" i="8"/>
  <c r="K7" i="8"/>
  <c r="L10" i="8"/>
  <c r="L9" i="8"/>
  <c r="K46" i="8"/>
  <c r="L38" i="8"/>
  <c r="L47" i="8"/>
  <c r="L39" i="8"/>
  <c r="K37" i="8"/>
  <c r="L41" i="8"/>
  <c r="K62" i="8"/>
  <c r="K68" i="8"/>
  <c r="L69" i="8"/>
  <c r="L70" i="8"/>
  <c r="K73" i="8"/>
  <c r="K74" i="8"/>
  <c r="K77" i="8"/>
  <c r="K40" i="8"/>
  <c r="K10" i="8"/>
  <c r="K8" i="8"/>
  <c r="Y56" i="5" l="1"/>
  <c r="Y57" i="5" s="1"/>
  <c r="C10" i="20"/>
  <c r="M15" i="20"/>
  <c r="M10" i="20"/>
  <c r="D4" i="20"/>
  <c r="D6" i="20" s="1"/>
  <c r="G63" i="5"/>
  <c r="Q62" i="5"/>
  <c r="N4" i="20"/>
  <c r="N6" i="20" s="1"/>
  <c r="Q63" i="5"/>
  <c r="R38" i="5"/>
  <c r="R43" i="5" s="1"/>
  <c r="R61" i="5"/>
  <c r="R37" i="5"/>
  <c r="H61" i="5"/>
  <c r="H37" i="5"/>
  <c r="E38" i="5"/>
  <c r="E62" i="5"/>
  <c r="F38" i="5"/>
  <c r="K19" i="19" s="1"/>
  <c r="K20" i="19" s="1"/>
  <c r="K21" i="19" s="1"/>
  <c r="G38" i="5"/>
  <c r="L19" i="19" s="1"/>
  <c r="L20" i="19" s="1"/>
  <c r="L21" i="19" s="1"/>
  <c r="T52" i="7"/>
  <c r="T54" i="7" s="1"/>
  <c r="S52" i="7"/>
  <c r="S54" i="7" s="1"/>
  <c r="G62" i="5"/>
  <c r="E54" i="7"/>
  <c r="E21" i="7"/>
  <c r="G58" i="7"/>
  <c r="G67" i="7" s="1"/>
  <c r="G21" i="7"/>
  <c r="G20" i="7" s="1"/>
  <c r="M58" i="7"/>
  <c r="M67" i="7" s="1"/>
  <c r="M21" i="7"/>
  <c r="M20" i="7" s="1"/>
  <c r="R21" i="7"/>
  <c r="R20" i="7" s="1"/>
  <c r="I58" i="7"/>
  <c r="I67" i="7" s="1"/>
  <c r="I21" i="7"/>
  <c r="I20" i="7" s="1"/>
  <c r="J21" i="7"/>
  <c r="J20" i="7" s="1"/>
  <c r="L21" i="7"/>
  <c r="L20" i="7" s="1"/>
  <c r="F58" i="7"/>
  <c r="F67" i="7" s="1"/>
  <c r="K21" i="7"/>
  <c r="K20" i="7" s="1"/>
  <c r="S21" i="7"/>
  <c r="S20" i="7" s="1"/>
  <c r="O21" i="7"/>
  <c r="O20" i="7" s="1"/>
  <c r="H21" i="7"/>
  <c r="H20" i="7" s="1"/>
  <c r="N58" i="7"/>
  <c r="N67" i="7" s="1"/>
  <c r="N21" i="7"/>
  <c r="N20" i="7" s="1"/>
  <c r="Q21" i="7"/>
  <c r="Q20" i="7" s="1"/>
  <c r="P58" i="7"/>
  <c r="P67" i="7" s="1"/>
  <c r="P21" i="7"/>
  <c r="P20" i="7" s="1"/>
  <c r="S49" i="5"/>
  <c r="E47" i="5"/>
  <c r="S32" i="5"/>
  <c r="S50" i="5"/>
  <c r="O58" i="7"/>
  <c r="O67" i="7" s="1"/>
  <c r="S58" i="7"/>
  <c r="K58" i="7"/>
  <c r="K67" i="7" s="1"/>
  <c r="R58" i="7"/>
  <c r="R67" i="7" s="1"/>
  <c r="H58" i="7"/>
  <c r="H67" i="7" s="1"/>
  <c r="J58" i="7"/>
  <c r="J67" i="7" s="1"/>
  <c r="J119" i="8"/>
  <c r="Q58" i="7"/>
  <c r="Q67" i="7" s="1"/>
  <c r="L58" i="7"/>
  <c r="L67" i="7" s="1"/>
  <c r="K119" i="8"/>
  <c r="T21" i="5"/>
  <c r="T49" i="5" s="1"/>
  <c r="R54" i="7"/>
  <c r="K54" i="7"/>
  <c r="N54" i="7"/>
  <c r="P54" i="7"/>
  <c r="M54" i="7"/>
  <c r="L54" i="7"/>
  <c r="O54" i="7"/>
  <c r="Q54" i="7"/>
  <c r="Q42" i="13"/>
  <c r="V22" i="7"/>
  <c r="E58" i="13"/>
  <c r="E7" i="10" s="1"/>
  <c r="Q56" i="13"/>
  <c r="H38" i="5"/>
  <c r="M19" i="19" s="1"/>
  <c r="M20" i="19" s="1"/>
  <c r="M21" i="19" s="1"/>
  <c r="Q29" i="12"/>
  <c r="E112" i="12"/>
  <c r="D10" i="10" s="1"/>
  <c r="L94" i="12"/>
  <c r="L96" i="12" s="1"/>
  <c r="L59" i="12"/>
  <c r="H94" i="12"/>
  <c r="H96" i="12" s="1"/>
  <c r="H59" i="12"/>
  <c r="G94" i="12"/>
  <c r="G96" i="12" s="1"/>
  <c r="G59" i="12"/>
  <c r="I94" i="12"/>
  <c r="I61" i="12" s="1"/>
  <c r="I66" i="12" s="1"/>
  <c r="I59" i="12"/>
  <c r="J94" i="12"/>
  <c r="J96" i="12" s="1"/>
  <c r="J59" i="12"/>
  <c r="M94" i="12"/>
  <c r="M96" i="12" s="1"/>
  <c r="M59" i="12"/>
  <c r="O94" i="12"/>
  <c r="O61" i="12" s="1"/>
  <c r="O66" i="12" s="1"/>
  <c r="O59" i="12"/>
  <c r="K94" i="12"/>
  <c r="K96" i="12" s="1"/>
  <c r="K59" i="12"/>
  <c r="N94" i="12"/>
  <c r="N61" i="12" s="1"/>
  <c r="N66" i="12" s="1"/>
  <c r="N59" i="12"/>
  <c r="E59" i="12"/>
  <c r="E94" i="12"/>
  <c r="F94" i="12"/>
  <c r="F96" i="12" s="1"/>
  <c r="F59" i="12"/>
  <c r="Q79" i="12"/>
  <c r="Q44" i="12"/>
  <c r="H54" i="7"/>
  <c r="I54" i="7"/>
  <c r="J54" i="7"/>
  <c r="E59" i="6"/>
  <c r="E42" i="6"/>
  <c r="G59" i="6"/>
  <c r="G50" i="6"/>
  <c r="H59" i="6"/>
  <c r="H50" i="6"/>
  <c r="O59" i="6"/>
  <c r="O50" i="6"/>
  <c r="N59" i="6"/>
  <c r="N50" i="6"/>
  <c r="L59" i="6"/>
  <c r="L50" i="6"/>
  <c r="I59" i="6"/>
  <c r="I50" i="6"/>
  <c r="F59" i="6"/>
  <c r="F50" i="6"/>
  <c r="Q37" i="6"/>
  <c r="Q19" i="6"/>
  <c r="L64" i="6"/>
  <c r="J42" i="6"/>
  <c r="K64" i="6"/>
  <c r="M42" i="6"/>
  <c r="L42" i="6"/>
  <c r="J64" i="6"/>
  <c r="F42" i="6"/>
  <c r="N42" i="6"/>
  <c r="N64" i="6"/>
  <c r="F64" i="6"/>
  <c r="G42" i="6"/>
  <c r="G64" i="6"/>
  <c r="H64" i="6"/>
  <c r="M59" i="6"/>
  <c r="J59" i="6"/>
  <c r="O42" i="6"/>
  <c r="O64" i="6"/>
  <c r="M64" i="6"/>
  <c r="H42" i="6"/>
  <c r="I64" i="6"/>
  <c r="I42" i="6"/>
  <c r="E64" i="6"/>
  <c r="N15" i="20" l="1"/>
  <c r="N10" i="20"/>
  <c r="D15" i="20"/>
  <c r="D10" i="20"/>
  <c r="R62" i="5"/>
  <c r="R63" i="5"/>
  <c r="O4" i="20"/>
  <c r="O6" i="20" s="1"/>
  <c r="H62" i="5"/>
  <c r="E4" i="20"/>
  <c r="E6" i="20" s="1"/>
  <c r="H63" i="5"/>
  <c r="J19" i="19"/>
  <c r="J20" i="19" s="1"/>
  <c r="J21" i="19" s="1"/>
  <c r="S38" i="5"/>
  <c r="S43" i="5" s="1"/>
  <c r="S37" i="5"/>
  <c r="S61" i="5"/>
  <c r="E52" i="5"/>
  <c r="E56" i="5"/>
  <c r="G43" i="5"/>
  <c r="F43" i="5"/>
  <c r="S67" i="7"/>
  <c r="S68" i="7" s="1"/>
  <c r="U52" i="7"/>
  <c r="T21" i="7"/>
  <c r="T20" i="7" s="1"/>
  <c r="T34" i="7"/>
  <c r="T33" i="7" s="1"/>
  <c r="O68" i="7"/>
  <c r="P34" i="7"/>
  <c r="N34" i="7"/>
  <c r="I34" i="7"/>
  <c r="H34" i="7"/>
  <c r="G34" i="7"/>
  <c r="G33" i="7" s="1"/>
  <c r="AA59" i="7"/>
  <c r="L34" i="7"/>
  <c r="R34" i="7"/>
  <c r="O63" i="7"/>
  <c r="Q34" i="7"/>
  <c r="O34" i="7"/>
  <c r="K34" i="7"/>
  <c r="J34" i="7"/>
  <c r="M34" i="7"/>
  <c r="S34" i="7"/>
  <c r="T32" i="5"/>
  <c r="T50" i="5"/>
  <c r="N63" i="7"/>
  <c r="N68" i="7"/>
  <c r="T58" i="7"/>
  <c r="T63" i="7" s="1"/>
  <c r="S63" i="7"/>
  <c r="H63" i="7"/>
  <c r="G68" i="7"/>
  <c r="G63" i="7"/>
  <c r="I63" i="7"/>
  <c r="I68" i="7"/>
  <c r="J63" i="7"/>
  <c r="K63" i="7"/>
  <c r="J68" i="7"/>
  <c r="M63" i="7"/>
  <c r="L63" i="7"/>
  <c r="P63" i="7"/>
  <c r="L119" i="8"/>
  <c r="P68" i="7"/>
  <c r="Q68" i="7"/>
  <c r="M68" i="7"/>
  <c r="L68" i="7"/>
  <c r="R68" i="7"/>
  <c r="Q63" i="7"/>
  <c r="R63" i="7"/>
  <c r="H68" i="7"/>
  <c r="K68" i="7"/>
  <c r="T20" i="5"/>
  <c r="U21" i="5"/>
  <c r="L96" i="8"/>
  <c r="E43" i="5"/>
  <c r="H43" i="5"/>
  <c r="J32" i="5"/>
  <c r="I32" i="5"/>
  <c r="E52" i="6"/>
  <c r="C8" i="10" s="1"/>
  <c r="Q50" i="6"/>
  <c r="E44" i="6"/>
  <c r="J61" i="12"/>
  <c r="J66" i="12" s="1"/>
  <c r="N96" i="12"/>
  <c r="N101" i="12" s="1"/>
  <c r="E61" i="12"/>
  <c r="E66" i="12" s="1"/>
  <c r="Q59" i="12"/>
  <c r="E96" i="12"/>
  <c r="E101" i="12" s="1"/>
  <c r="Q94" i="12"/>
  <c r="K101" i="12"/>
  <c r="K114" i="12"/>
  <c r="K115" i="12" s="1"/>
  <c r="F101" i="12"/>
  <c r="F114" i="12"/>
  <c r="F115" i="12" s="1"/>
  <c r="G101" i="12"/>
  <c r="G114" i="12"/>
  <c r="G115" i="12" s="1"/>
  <c r="K61" i="12"/>
  <c r="K66" i="12" s="1"/>
  <c r="M101" i="12"/>
  <c r="M114" i="12"/>
  <c r="M115" i="12" s="1"/>
  <c r="H101" i="12"/>
  <c r="H114" i="12"/>
  <c r="H115" i="12" s="1"/>
  <c r="J101" i="12"/>
  <c r="J114" i="12"/>
  <c r="J115" i="12" s="1"/>
  <c r="L101" i="12"/>
  <c r="L114" i="12"/>
  <c r="L115" i="12" s="1"/>
  <c r="H61" i="12"/>
  <c r="H66" i="12" s="1"/>
  <c r="L61" i="12"/>
  <c r="L66" i="12" s="1"/>
  <c r="I96" i="12"/>
  <c r="O96" i="12"/>
  <c r="G61" i="12"/>
  <c r="G66" i="12" s="1"/>
  <c r="F61" i="12"/>
  <c r="F66" i="12" s="1"/>
  <c r="M61" i="12"/>
  <c r="M66" i="12" s="1"/>
  <c r="Q110" i="12"/>
  <c r="Q59" i="6"/>
  <c r="Q64" i="6"/>
  <c r="Q42" i="6"/>
  <c r="E61" i="6"/>
  <c r="D8" i="10" s="1"/>
  <c r="E66" i="6"/>
  <c r="E8" i="10" s="1"/>
  <c r="G8" i="10" s="1"/>
  <c r="O15" i="20" l="1"/>
  <c r="O10" i="20"/>
  <c r="E15" i="20"/>
  <c r="E10" i="20"/>
  <c r="J72" i="7"/>
  <c r="J33" i="7"/>
  <c r="K72" i="7"/>
  <c r="K33" i="7"/>
  <c r="I72" i="7"/>
  <c r="I33" i="7"/>
  <c r="H72" i="7"/>
  <c r="H33" i="7"/>
  <c r="Q72" i="7"/>
  <c r="Q33" i="7"/>
  <c r="N72" i="7"/>
  <c r="N33" i="7"/>
  <c r="P72" i="7"/>
  <c r="P33" i="7"/>
  <c r="O72" i="7"/>
  <c r="O33" i="7"/>
  <c r="R72" i="7"/>
  <c r="R33" i="7"/>
  <c r="S72" i="7"/>
  <c r="S33" i="7"/>
  <c r="L72" i="7"/>
  <c r="L33" i="7"/>
  <c r="S62" i="5"/>
  <c r="P4" i="20"/>
  <c r="P6" i="20" s="1"/>
  <c r="S63" i="5"/>
  <c r="M72" i="7"/>
  <c r="M33" i="7"/>
  <c r="T39" i="7"/>
  <c r="T72" i="7"/>
  <c r="G39" i="7"/>
  <c r="G72" i="7"/>
  <c r="J38" i="5"/>
  <c r="J43" i="5" s="1"/>
  <c r="J37" i="5"/>
  <c r="J61" i="5"/>
  <c r="I61" i="5"/>
  <c r="I37" i="5"/>
  <c r="T37" i="5"/>
  <c r="T61" i="5"/>
  <c r="I38" i="5"/>
  <c r="J40" i="7"/>
  <c r="J45" i="7" s="1"/>
  <c r="J39" i="7"/>
  <c r="K40" i="7"/>
  <c r="K45" i="7" s="1"/>
  <c r="K39" i="7"/>
  <c r="H40" i="7"/>
  <c r="H45" i="7" s="1"/>
  <c r="H39" i="7"/>
  <c r="O40" i="7"/>
  <c r="O45" i="7" s="1"/>
  <c r="O39" i="7"/>
  <c r="I40" i="7"/>
  <c r="I45" i="7" s="1"/>
  <c r="I39" i="7"/>
  <c r="Q40" i="7"/>
  <c r="Q45" i="7" s="1"/>
  <c r="Q39" i="7"/>
  <c r="N40" i="7"/>
  <c r="N45" i="7" s="1"/>
  <c r="N39" i="7"/>
  <c r="L40" i="7"/>
  <c r="L45" i="7" s="1"/>
  <c r="L39" i="7"/>
  <c r="P40" i="7"/>
  <c r="P45" i="7" s="1"/>
  <c r="P39" i="7"/>
  <c r="R40" i="7"/>
  <c r="R45" i="7" s="1"/>
  <c r="R39" i="7"/>
  <c r="S40" i="7"/>
  <c r="S45" i="7" s="1"/>
  <c r="S39" i="7"/>
  <c r="M40" i="7"/>
  <c r="M45" i="7" s="1"/>
  <c r="M39" i="7"/>
  <c r="V52" i="7"/>
  <c r="V54" i="7" s="1"/>
  <c r="T40" i="7"/>
  <c r="T45" i="7" s="1"/>
  <c r="G40" i="7"/>
  <c r="G45" i="7" s="1"/>
  <c r="U21" i="7"/>
  <c r="U20" i="7" s="1"/>
  <c r="E57" i="5"/>
  <c r="U20" i="5"/>
  <c r="U49" i="5"/>
  <c r="U32" i="5"/>
  <c r="U50" i="5"/>
  <c r="T67" i="7"/>
  <c r="U58" i="7"/>
  <c r="U67" i="7" s="1"/>
  <c r="U54" i="7"/>
  <c r="E114" i="12"/>
  <c r="E115" i="12" s="1"/>
  <c r="T38" i="5"/>
  <c r="V21" i="5"/>
  <c r="V49" i="5" s="1"/>
  <c r="N114" i="12"/>
  <c r="N115" i="12" s="1"/>
  <c r="Q96" i="12"/>
  <c r="O101" i="12"/>
  <c r="O114" i="12"/>
  <c r="O115" i="12" s="1"/>
  <c r="I101" i="12"/>
  <c r="I114" i="12"/>
  <c r="I115" i="12" s="1"/>
  <c r="Q66" i="12"/>
  <c r="E68" i="12"/>
  <c r="Q61" i="12"/>
  <c r="P15" i="20" l="1"/>
  <c r="P10" i="20"/>
  <c r="G73" i="7"/>
  <c r="D5" i="20"/>
  <c r="D7" i="20" s="1"/>
  <c r="O73" i="7"/>
  <c r="L5" i="20"/>
  <c r="L7" i="20" s="1"/>
  <c r="H73" i="7"/>
  <c r="E5" i="20"/>
  <c r="E7" i="20" s="1"/>
  <c r="T62" i="5"/>
  <c r="T63" i="5"/>
  <c r="Q4" i="20"/>
  <c r="Q6" i="20" s="1"/>
  <c r="T73" i="7"/>
  <c r="Q5" i="20"/>
  <c r="Q7" i="20" s="1"/>
  <c r="L73" i="7"/>
  <c r="I5" i="20"/>
  <c r="I7" i="20" s="1"/>
  <c r="P73" i="7"/>
  <c r="M5" i="20"/>
  <c r="M7" i="20" s="1"/>
  <c r="I73" i="7"/>
  <c r="F5" i="20"/>
  <c r="F7" i="20" s="1"/>
  <c r="I62" i="5"/>
  <c r="F4" i="20"/>
  <c r="F6" i="20" s="1"/>
  <c r="I63" i="5"/>
  <c r="S73" i="7"/>
  <c r="P5" i="20"/>
  <c r="P7" i="20" s="1"/>
  <c r="N73" i="7"/>
  <c r="K5" i="20"/>
  <c r="K7" i="20" s="1"/>
  <c r="K73" i="7"/>
  <c r="H5" i="20"/>
  <c r="H7" i="20" s="1"/>
  <c r="J62" i="5"/>
  <c r="J63" i="5"/>
  <c r="G4" i="20"/>
  <c r="G6" i="20" s="1"/>
  <c r="M73" i="7"/>
  <c r="J5" i="20"/>
  <c r="J7" i="20" s="1"/>
  <c r="R73" i="7"/>
  <c r="O5" i="20"/>
  <c r="O7" i="20" s="1"/>
  <c r="Q73" i="7"/>
  <c r="N5" i="20"/>
  <c r="N7" i="20" s="1"/>
  <c r="J73" i="7"/>
  <c r="G5" i="20"/>
  <c r="G7" i="20" s="1"/>
  <c r="U37" i="5"/>
  <c r="U61" i="5"/>
  <c r="AA24" i="7"/>
  <c r="V21" i="7"/>
  <c r="V20" i="7" s="1"/>
  <c r="U38" i="5"/>
  <c r="U43" i="5" s="1"/>
  <c r="T68" i="7"/>
  <c r="V32" i="5"/>
  <c r="V50" i="5"/>
  <c r="V58" i="7"/>
  <c r="V63" i="7" s="1"/>
  <c r="U63" i="7"/>
  <c r="U68" i="7"/>
  <c r="W52" i="7"/>
  <c r="W54" i="7" s="1"/>
  <c r="W21" i="5"/>
  <c r="X21" i="5"/>
  <c r="V20" i="5"/>
  <c r="AA22" i="7"/>
  <c r="E58" i="8" s="1"/>
  <c r="E59" i="8" s="1"/>
  <c r="E60" i="8" s="1"/>
  <c r="T43" i="5"/>
  <c r="L32" i="5"/>
  <c r="I43" i="5"/>
  <c r="K32" i="5"/>
  <c r="E103" i="12"/>
  <c r="C10" i="10" s="1"/>
  <c r="Q114" i="12"/>
  <c r="E117" i="12"/>
  <c r="E10" i="10" s="1"/>
  <c r="G10" i="10" s="1"/>
  <c r="Q115" i="12"/>
  <c r="Q101" i="12"/>
  <c r="G15" i="20" l="1"/>
  <c r="G10" i="20"/>
  <c r="H16" i="20"/>
  <c r="H11" i="20"/>
  <c r="E16" i="20"/>
  <c r="E11" i="20"/>
  <c r="L16" i="20"/>
  <c r="L11" i="20"/>
  <c r="Q16" i="20"/>
  <c r="Q11" i="20"/>
  <c r="F16" i="20"/>
  <c r="F11" i="20"/>
  <c r="Q15" i="20"/>
  <c r="Q10" i="20"/>
  <c r="P16" i="20"/>
  <c r="P11" i="20"/>
  <c r="I16" i="20"/>
  <c r="I11" i="20"/>
  <c r="N16" i="20"/>
  <c r="N11" i="20"/>
  <c r="D16" i="20"/>
  <c r="D11" i="20"/>
  <c r="K16" i="20"/>
  <c r="K11" i="20"/>
  <c r="G16" i="20"/>
  <c r="G11" i="20"/>
  <c r="F15" i="20"/>
  <c r="F10" i="20"/>
  <c r="O16" i="20"/>
  <c r="O11" i="20"/>
  <c r="J16" i="20"/>
  <c r="J11" i="20"/>
  <c r="M16" i="20"/>
  <c r="M11" i="20"/>
  <c r="AA21" i="5"/>
  <c r="E13" i="8" s="1"/>
  <c r="E14" i="8" s="1"/>
  <c r="E15" i="8" s="1"/>
  <c r="U62" i="5"/>
  <c r="U63" i="5"/>
  <c r="R4" i="20"/>
  <c r="R6" i="20" s="1"/>
  <c r="V61" i="5"/>
  <c r="V37" i="5"/>
  <c r="K61" i="5"/>
  <c r="K37" i="5"/>
  <c r="L61" i="5"/>
  <c r="L37" i="5"/>
  <c r="X52" i="7"/>
  <c r="AA35" i="7"/>
  <c r="U34" i="7"/>
  <c r="V34" i="7"/>
  <c r="X32" i="5"/>
  <c r="X50" i="5"/>
  <c r="W32" i="5"/>
  <c r="W50" i="5"/>
  <c r="X20" i="5"/>
  <c r="X49" i="5"/>
  <c r="W20" i="5"/>
  <c r="W49" i="5"/>
  <c r="V67" i="7"/>
  <c r="X58" i="7"/>
  <c r="V38" i="5"/>
  <c r="L38" i="5"/>
  <c r="L43" i="5" s="1"/>
  <c r="M32" i="5"/>
  <c r="K38" i="5"/>
  <c r="R15" i="20" l="1"/>
  <c r="R10" i="20"/>
  <c r="L62" i="5"/>
  <c r="L63" i="5"/>
  <c r="I4" i="20"/>
  <c r="I6" i="20" s="1"/>
  <c r="K62" i="5"/>
  <c r="K63" i="5"/>
  <c r="H4" i="20"/>
  <c r="H6" i="20" s="1"/>
  <c r="U72" i="7"/>
  <c r="U33" i="7"/>
  <c r="V62" i="5"/>
  <c r="V63" i="5"/>
  <c r="S4" i="20"/>
  <c r="S6" i="20" s="1"/>
  <c r="V72" i="7"/>
  <c r="V33" i="7"/>
  <c r="W61" i="5"/>
  <c r="W37" i="5"/>
  <c r="X61" i="5"/>
  <c r="X37" i="5"/>
  <c r="M37" i="5"/>
  <c r="M61" i="5"/>
  <c r="AA49" i="5"/>
  <c r="AA50" i="5"/>
  <c r="U40" i="7"/>
  <c r="U45" i="7" s="1"/>
  <c r="U39" i="7"/>
  <c r="V40" i="7"/>
  <c r="V45" i="7" s="1"/>
  <c r="V39" i="7"/>
  <c r="AA20" i="5"/>
  <c r="X54" i="7"/>
  <c r="X38" i="5"/>
  <c r="W73" i="7"/>
  <c r="W38" i="5"/>
  <c r="W43" i="5" s="1"/>
  <c r="X63" i="7"/>
  <c r="X67" i="7"/>
  <c r="V68" i="7"/>
  <c r="K13" i="8"/>
  <c r="V43" i="5"/>
  <c r="M38" i="5"/>
  <c r="M43" i="5" s="1"/>
  <c r="N32" i="5"/>
  <c r="AA32" i="5" s="1"/>
  <c r="K43" i="5"/>
  <c r="H15" i="20" l="1"/>
  <c r="H10" i="20"/>
  <c r="S15" i="20"/>
  <c r="S10" i="20"/>
  <c r="I15" i="20"/>
  <c r="I10" i="20"/>
  <c r="U4" i="20"/>
  <c r="U6" i="20" s="1"/>
  <c r="X63" i="5"/>
  <c r="U73" i="7"/>
  <c r="R5" i="20"/>
  <c r="R7" i="20" s="1"/>
  <c r="W63" i="5"/>
  <c r="T4" i="20"/>
  <c r="T6" i="20" s="1"/>
  <c r="V73" i="7"/>
  <c r="S5" i="20"/>
  <c r="S7" i="20" s="1"/>
  <c r="X62" i="5"/>
  <c r="M62" i="5"/>
  <c r="M63" i="5"/>
  <c r="J4" i="20"/>
  <c r="J6" i="20" s="1"/>
  <c r="N37" i="5"/>
  <c r="N61" i="5"/>
  <c r="W62" i="5"/>
  <c r="X73" i="7"/>
  <c r="X43" i="5"/>
  <c r="X68" i="7"/>
  <c r="L14" i="8"/>
  <c r="K14" i="8"/>
  <c r="G9" i="10"/>
  <c r="N38" i="5"/>
  <c r="E40" i="5" s="1"/>
  <c r="E16" i="8"/>
  <c r="U15" i="20" l="1"/>
  <c r="U10" i="20"/>
  <c r="S16" i="20"/>
  <c r="S11" i="20"/>
  <c r="J15" i="20"/>
  <c r="J10" i="20"/>
  <c r="T15" i="20"/>
  <c r="T10" i="20"/>
  <c r="R16" i="20"/>
  <c r="R11" i="20"/>
  <c r="N63" i="5"/>
  <c r="K4" i="20"/>
  <c r="K6" i="20" s="1"/>
  <c r="N62" i="5"/>
  <c r="AA62" i="5" s="1"/>
  <c r="C14" i="9" s="1"/>
  <c r="AA61" i="5"/>
  <c r="AA38" i="5"/>
  <c r="X45" i="7"/>
  <c r="W58" i="7"/>
  <c r="W45" i="7"/>
  <c r="L16" i="8"/>
  <c r="K16" i="8"/>
  <c r="L15" i="8"/>
  <c r="K15" i="8"/>
  <c r="N43" i="5"/>
  <c r="K15" i="20" l="1"/>
  <c r="K10" i="20"/>
  <c r="E45" i="5"/>
  <c r="AA43" i="5"/>
  <c r="W63" i="7"/>
  <c r="W67" i="7"/>
  <c r="W68" i="7" s="1"/>
  <c r="L97" i="8"/>
  <c r="K85" i="8"/>
  <c r="J85" i="8"/>
  <c r="L13" i="8"/>
  <c r="J86" i="8"/>
  <c r="L85" i="8" l="1"/>
  <c r="K86" i="8"/>
  <c r="L86" i="8" s="1"/>
  <c r="J87" i="8"/>
  <c r="L98" i="8"/>
  <c r="K87" i="8"/>
  <c r="K129" i="8" l="1"/>
  <c r="F47" i="5"/>
  <c r="L87" i="8"/>
  <c r="F56" i="5" l="1"/>
  <c r="F52" i="5"/>
  <c r="G47" i="5"/>
  <c r="G52" i="5" s="1"/>
  <c r="H47" i="5" l="1"/>
  <c r="G56" i="5"/>
  <c r="F57" i="5"/>
  <c r="G57" i="5" l="1"/>
  <c r="H52" i="5"/>
  <c r="H56" i="5"/>
  <c r="I47" i="5"/>
  <c r="J47" i="5" l="1"/>
  <c r="H57" i="5"/>
  <c r="I56" i="5"/>
  <c r="I52" i="5"/>
  <c r="I57" i="5" l="1"/>
  <c r="J52" i="5"/>
  <c r="J56" i="5"/>
  <c r="K47" i="5"/>
  <c r="L47" i="5" l="1"/>
  <c r="J57" i="5"/>
  <c r="K56" i="5"/>
  <c r="K52" i="5"/>
  <c r="K57" i="5" l="1"/>
  <c r="L52" i="5"/>
  <c r="L56" i="5"/>
  <c r="M47" i="5"/>
  <c r="N47" i="5" l="1"/>
  <c r="L57" i="5"/>
  <c r="M52" i="5"/>
  <c r="M56" i="5"/>
  <c r="M57" i="5" l="1"/>
  <c r="N52" i="5"/>
  <c r="N56" i="5"/>
  <c r="O47" i="5"/>
  <c r="P47" i="5" l="1"/>
  <c r="N57" i="5"/>
  <c r="O52" i="5"/>
  <c r="O56" i="5"/>
  <c r="O57" i="5" l="1"/>
  <c r="P52" i="5"/>
  <c r="P56" i="5"/>
  <c r="Q47" i="5"/>
  <c r="P57" i="5" l="1"/>
  <c r="Q52" i="5"/>
  <c r="Q56" i="5"/>
  <c r="R47" i="5"/>
  <c r="S47" i="5" l="1"/>
  <c r="R52" i="5"/>
  <c r="R56" i="5"/>
  <c r="Q57" i="5"/>
  <c r="R57" i="5" l="1"/>
  <c r="T47" i="5"/>
  <c r="S52" i="5"/>
  <c r="S56" i="5"/>
  <c r="U47" i="5" l="1"/>
  <c r="S57" i="5"/>
  <c r="T52" i="5"/>
  <c r="T56" i="5"/>
  <c r="U52" i="5" l="1"/>
  <c r="U56" i="5"/>
  <c r="T57" i="5"/>
  <c r="V47" i="5"/>
  <c r="V52" i="5" l="1"/>
  <c r="V56" i="5"/>
  <c r="U57" i="5"/>
  <c r="W47" i="5"/>
  <c r="X47" i="5" l="1"/>
  <c r="AA47" i="5" s="1"/>
  <c r="W52" i="5"/>
  <c r="W56" i="5"/>
  <c r="V57" i="5"/>
  <c r="W57" i="5" l="1"/>
  <c r="X52" i="5"/>
  <c r="X56" i="5"/>
  <c r="AA56" i="5" s="1"/>
  <c r="E54" i="5" l="1"/>
  <c r="D6" i="10" s="1"/>
  <c r="AA52" i="5"/>
  <c r="X57" i="5"/>
  <c r="E59" i="5" l="1"/>
  <c r="AA57" i="5"/>
  <c r="H6" i="10"/>
  <c r="C6" i="10" l="1"/>
  <c r="E6" i="10" s="1"/>
  <c r="C25" i="9"/>
  <c r="B161" i="8"/>
  <c r="H161" i="8"/>
  <c r="F8" i="10" l="1"/>
  <c r="G29" i="10"/>
  <c r="F10" i="10"/>
  <c r="C27" i="9"/>
  <c r="C33" i="9"/>
  <c r="C29" i="9"/>
  <c r="C31" i="9"/>
  <c r="C20" i="9"/>
  <c r="C16" i="9"/>
  <c r="C18" i="9"/>
  <c r="C22" i="9"/>
  <c r="F63" i="7" l="1"/>
  <c r="L58" i="8"/>
  <c r="K58" i="8"/>
  <c r="E20" i="7"/>
  <c r="E40" i="7" s="1"/>
  <c r="AA60" i="7" l="1"/>
  <c r="E58" i="7"/>
  <c r="E67" i="7" s="1"/>
  <c r="K59" i="8"/>
  <c r="L59" i="8"/>
  <c r="E45" i="7" l="1"/>
  <c r="K60" i="8"/>
  <c r="J120" i="8" s="1"/>
  <c r="L60" i="8"/>
  <c r="K120" i="8" s="1"/>
  <c r="AA58" i="7"/>
  <c r="E63" i="7"/>
  <c r="E73" i="7" l="1"/>
  <c r="E68" i="7"/>
  <c r="L120" i="8"/>
  <c r="E65" i="7"/>
  <c r="D9" i="10" s="1"/>
  <c r="AA63" i="7"/>
  <c r="AA67" i="7"/>
  <c r="F54" i="7"/>
  <c r="AA54" i="7" s="1"/>
  <c r="AA52" i="7"/>
  <c r="F34" i="7" l="1"/>
  <c r="F33" i="7" s="1"/>
  <c r="F68" i="7"/>
  <c r="F21" i="7"/>
  <c r="E56" i="7"/>
  <c r="AA25" i="7"/>
  <c r="F39" i="7" l="1"/>
  <c r="F72" i="7"/>
  <c r="C5" i="20" s="1"/>
  <c r="C7" i="20" s="1"/>
  <c r="AA34" i="7"/>
  <c r="E61" i="8" s="1"/>
  <c r="L61" i="8" s="1"/>
  <c r="K121" i="8" s="1"/>
  <c r="AA21" i="7"/>
  <c r="F20" i="7"/>
  <c r="F40" i="7" s="1"/>
  <c r="E42" i="7" s="1"/>
  <c r="AA68" i="7"/>
  <c r="C9" i="10" s="1"/>
  <c r="E9" i="10" s="1"/>
  <c r="E70" i="7"/>
  <c r="L14" i="9" s="1"/>
  <c r="C16" i="20" l="1"/>
  <c r="C11" i="20"/>
  <c r="AA72" i="7"/>
  <c r="H9" i="10" s="1"/>
  <c r="F73" i="7"/>
  <c r="AA73" i="7" s="1"/>
  <c r="AA41" i="7"/>
  <c r="AB41" i="7" s="1"/>
  <c r="K61" i="8"/>
  <c r="J121" i="8" s="1"/>
  <c r="J129" i="8" s="1"/>
  <c r="F9" i="10"/>
  <c r="H30" i="10"/>
  <c r="H31" i="10" s="1"/>
  <c r="L20" i="9"/>
  <c r="L16" i="9"/>
  <c r="L18" i="9"/>
  <c r="L22" i="9"/>
  <c r="L25" i="9"/>
  <c r="AA20" i="7"/>
  <c r="L121" i="8" l="1"/>
  <c r="L29" i="9"/>
  <c r="L27" i="9"/>
  <c r="L31" i="9"/>
  <c r="L33" i="9"/>
  <c r="AA40" i="7"/>
  <c r="F45" i="7"/>
  <c r="AA45" i="7" l="1"/>
  <c r="E4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Autors</author>
  </authors>
  <commentList>
    <comment ref="B91" authorId="0" shapeId="0" xr:uid="{DEBA4385-EEA0-4248-B681-CAC2BF016834}">
      <text>
        <r>
          <rPr>
            <sz val="9"/>
            <color indexed="81"/>
            <rFont val="Tahoma"/>
            <family val="2"/>
          </rPr>
          <t xml:space="preserve">2024. gadā - 2246.56 MWh
</t>
        </r>
      </text>
    </comment>
    <comment ref="B136" authorId="0" shapeId="0" xr:uid="{AF5161FF-157B-4FBA-B511-D33830914F07}">
      <text>
        <r>
          <rPr>
            <sz val="9"/>
            <color indexed="81"/>
            <rFont val="Tahoma"/>
            <family val="2"/>
          </rPr>
          <t>Attīstības scenārija investīcijas mīnus bāzes scenārija investīcijas.</t>
        </r>
      </text>
    </comment>
    <comment ref="C175" authorId="0" shapeId="0" xr:uid="{22935121-3CF0-4245-9EB0-503458EADA6E}">
      <text>
        <r>
          <rPr>
            <sz val="9"/>
            <color indexed="81"/>
            <rFont val="Tahoma"/>
            <family val="2"/>
          </rPr>
          <t>Esošās katlu mājas saskaņā ar prasībām ir tikušas jau aprīkotas ar PM filtriem, kā rezultātā katlu mājas jau atbilst samazināto PM emisiju prasībām</t>
        </r>
        <r>
          <rPr>
            <b/>
            <sz val="9"/>
            <color indexed="81"/>
            <rFont val="Tahoma"/>
            <family val="2"/>
          </rPr>
          <t>.</t>
        </r>
        <r>
          <rPr>
            <sz val="9"/>
            <color indexed="81"/>
            <rFont val="Tahoma"/>
            <family val="2"/>
          </rPr>
          <t xml:space="preserve">
</t>
        </r>
      </text>
    </comment>
    <comment ref="D220" authorId="0" shapeId="0" xr:uid="{F0D55C9D-5C83-4426-8253-F5D5AE2B26DC}">
      <text>
        <r>
          <rPr>
            <sz val="9"/>
            <color indexed="81"/>
            <rFont val="Tahoma"/>
            <family val="2"/>
          </rPr>
          <t xml:space="preserve">Būs jābūt aprīkotiem ar atbilstošiem filtriem arī scenārijā bez projekta līdz 2030. gadam
</t>
        </r>
      </text>
    </comment>
    <comment ref="E220" authorId="0" shapeId="0" xr:uid="{651997F1-B3AF-4A48-8F51-25F8C07B9CCB}">
      <text>
        <r>
          <rPr>
            <sz val="9"/>
            <color indexed="81"/>
            <rFont val="Tahoma"/>
            <family val="2"/>
          </rPr>
          <t xml:space="preserve">20% samazinājums ar papildus ķīmisko skrubju filtriem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tc={233481B3-67C8-4CEE-9397-011C75B242CF}</author>
    <author>tc={2A9E9F30-62B9-4104-994C-3F986B38E306}</author>
    <author>tc={1B9069D4-B6E4-4FC3-9501-A65BC952D799}</author>
  </authors>
  <commentList>
    <comment ref="D17" authorId="0" shapeId="0" xr:uid="{233481B3-67C8-4CEE-9397-011C75B242CF}">
      <text>
        <t>[Komentārs ar pavedienu]
Jūsu Excel versija ļauj lasīt šo komentāru ar pavedienu, tomēr visi tā labojumi tiks noņemti, ja fails tiks atvērts jaunākā Excel versijā. Papildinformācija: https://go.microsoft.com/fwlink/?linkid=870924
Komentārs:
    Arī projekta investīciju gadā būs ienākums par pārdoto siltumu privātajam un pašvaldības sektoram, taču to saņēmējs būs esošais siltumapgādes piegādātājs, t.i. SIA "Gren Gulbene", un šis ienākumus apjoms nav attiecināms uz izvirzīto PPP projektu</t>
      </text>
    </comment>
    <comment ref="D20" authorId="1" shapeId="0" xr:uid="{2A9E9F30-62B9-4104-994C-3F986B38E306}">
      <text>
        <t>[Komentārs ar pavedienu]
Jūsu Excel versija ļauj lasīt šo komentāru ar pavedienu, tomēr visi tā labojumi tiks noņemti, ja fails tiks atvērts jaunākā Excel versijā. Papildinformācija: https://go.microsoft.com/fwlink/?linkid=870924
Komentārs:
    Arī projekta investīciju gadā būs ienākums par pārdoto siltumu privātajam un pašvaldības sektoram, taču to saņēmējs būs esošais siltumapgādes piegādātājs, t.i. SIA "Gren Gulbene", un šis ienākumus apjoms nav attiecināms uz izvirzīto PPP projektu</t>
      </text>
    </comment>
    <comment ref="D39" authorId="2" shapeId="0" xr:uid="{1B9069D4-B6E4-4FC3-9501-A65BC952D799}">
      <text>
        <t>[Komentārs ar pavedienu]
Jūsu Excel versija ļauj lasīt šo komentāru ar pavedienu, tomēr visi tā labojumi tiks noņemti, ja fails tiks atvērts jaunākā Excel versijā. Papildinformācija: https://go.microsoft.com/fwlink/?linkid=870924
Komentārs:
    Arī projekta investīciju gadā būs izmaksas siltumapgādes nodrošināšanai, taču tās segs esošais siltumapgādes piegādātājs, t.i. SIA "Gren Gulbene", un šis izmaksu apjoms nav attiecināms uz izvirzīto PPP projektu</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tc={542B4A8A-3CC0-4F9F-AB59-4876D6F22335}</author>
    <author>tc={4DDB4D97-FA7A-4A70-8097-E2392E40048C}</author>
    <author>tc={09A7FC25-3E99-441D-959A-D997A2CC8D37}</author>
    <author>tc={A6E4D326-E997-4786-9687-7905D89074FA}</author>
  </authors>
  <commentList>
    <comment ref="C16" authorId="0" shapeId="0" xr:uid="{542B4A8A-3CC0-4F9F-AB59-4876D6F22335}">
      <text>
        <t>[Komentārs ar pavedienu]
Jūsu Excel versija ļauj lasīt šo komentāru ar pavedienu, tomēr visi tā labojumi tiks noņemti, ja fails tiks atvērts jaunākā Excel versijā. Papildinformācija: https://go.microsoft.com/fwlink/?linkid=870924
Komentārs:
    Publiskais katru iegādi veic caur iepirkumu katram gadījumam, privātais var veidot ilgtermiņa sadarbību ar ražotājiem, t.i. visam periodam. Caur iepirkumu iegādes būs dārgākas nekā privātajam bez iepirkuma</t>
      </text>
    </comment>
    <comment ref="E22" authorId="1" shapeId="0" xr:uid="{4DDB4D97-FA7A-4A70-8097-E2392E40048C}">
      <text>
        <t>[Komentārs ar pavedienu]
Jūsu Excel versija ļauj lasīt šo komentāru ar pavedienu, tomēr visi tā labojumi tiks noņemti, ja fails tiks atvērts jaunākā Excel versijā. Papildinformācija: https://go.microsoft.com/fwlink/?linkid=870924
Komentārs:
    Arī projekta investīciju gadā būs izmaksas siltumapgādes nodrošināšanai, taču tās segs esošais siltumapgādes piegādātājs, t.i. SIA "Gren Gulbene", un šis izmaksu apjoms nav attiecināms uz izvirzīto PPP projektu</t>
      </text>
    </comment>
    <comment ref="C23" authorId="2" shapeId="0" xr:uid="{09A7FC25-3E99-441D-959A-D997A2CC8D37}">
      <text>
        <t>[Komentārs ar pavedienu]
Jūsu Excel versija ļauj lasīt šo komentāru ar pavedienu, tomēr visi tā labojumi tiks noņemti, ja fails tiks atvērts jaunākā Excel versijā. Papildinformācija: https://go.microsoft.com/fwlink/?linkid=870924
Komentārs:
    Publiskais pērk caur iepirkumu vienai sezonai. Pārsvarā rudenī, kad pieprasījums ir lielāks un cenas augstākas. Nereti tiek izvirzītas nesamērīgas prasības, kas sadārdzina iepirkuma cenas (garantijas, apmaksas termiņi, vienpusējas atkāpšanās iespējas, soda naudas.
Privātais pērk un rezervē lielākus apjomus neatkarīgi no sezonas, var pirkt krājumus vai slēgt līgumus, kad cena ir zemāka, ilgtermiņa sadarbība ar piegādātājiem</t>
      </text>
    </comment>
    <comment ref="E33" authorId="3" shapeId="0" xr:uid="{A6E4D326-E997-4786-9687-7905D89074FA}">
      <text>
        <t xml:space="preserve">[Komentārs ar pavedienu]
Jūsu Excel versija ļauj lasīt šo komentāru ar pavedienu, tomēr visi tā labojumi tiks noņemti, ja fails tiks atvērts jaunākā Excel versijā. Papildinformācija: https://go.microsoft.com/fwlink/?linkid=870924
Komentārs:
    Arī projekta investīciju gadā būs ienākums par pārdoto siltumu, taču to saņēmējs būs esošais siltumapgādes piegādātājs, t.i. SIA "Gren Gulbene", un šis ienākumus apjoms nav attiecināms uz izvirzīto PPP projektu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tc={2112DE31-2606-4DA7-B50C-B3E6A9E16DE9}</author>
    <author>Autors</author>
    <author>tc={458A8991-B66B-46F6-A001-9E88DB0247E1}</author>
    <author>tc={B81D4D7F-7695-4B82-A4CE-2ACADE53D259}</author>
    <author>tc={233F2CD1-D7D3-49D6-AA07-63850908B437}</author>
  </authors>
  <commentList>
    <comment ref="E22" authorId="0" shapeId="0" xr:uid="{2112DE31-2606-4DA7-B50C-B3E6A9E16DE9}">
      <text>
        <t xml:space="preserve">[Komentārs ar pavedienu]
Jūsu Excel versija ļauj lasīt šo komentāru ar pavedienu, tomēr visi tā labojumi tiks noņemti, ja fails tiks atvērts jaunākā Excel versijā. Papildinformācija: https://go.microsoft.com/fwlink/?linkid=870924
Komentārs:
    Arī projekta investīciju gadā būs izmaksas siltumapgādes nodrošināšanai, taču tās segs esošais siltumapgādes piegādātājs, t.i. SIA "Gren Gulbene", un šis izmaksu apjoms nav attiecināms uz izvirzīto PPP projektu
</t>
      </text>
    </comment>
    <comment ref="C35" authorId="1" shapeId="0" xr:uid="{353929F4-11F3-4295-A3D3-5C6DC9DBCAFF}">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1-0,13 un 5-0,64
Reply:
    1-0,87 un 5-4,45</t>
        </r>
      </text>
    </comment>
    <comment ref="E35" authorId="2" shapeId="0" xr:uid="{458A8991-B66B-46F6-A001-9E88DB0247E1}">
      <text>
        <t xml:space="preserve">[Komentārs ar pavedienu]
Jūsu Excel versija ļauj lasīt šo komentāru ar pavedienu, tomēr visi tā labojumi tiks noņemti, ja fails tiks atvērts jaunākā Excel versijā. Papildinformācija: https://go.microsoft.com/fwlink/?linkid=870924
Komentārs:
    Arī projekta investīciju gadā būs ienākums par pārdoto siltumu, taču to saņēmējs būs esošais siltumapgādes piegādātājs, t.i. SIA "Gren Gulbene", un šis ienākumus apjoms nav attiecināms uz izvirzīto PPP projektu
</t>
      </text>
    </comment>
    <comment ref="E36" authorId="3" shapeId="0" xr:uid="{B81D4D7F-7695-4B82-A4CE-2ACADE53D259}">
      <text>
        <t xml:space="preserve">[Komentārs ar pavedienu]
Jūsu Excel versija ļauj lasīt šo komentāru ar pavedienu, tomēr visi tā labojumi tiks noņemti, ja fails tiks atvērts jaunākā Excel versijā. Papildinformācija: https://go.microsoft.com/fwlink/?linkid=870924
Komentārs:
    Arī projekta investīciju gadā būs ienākums par pārdoto siltumu, taču to saņēmējs būs esošais siltumapgādes piegādātājs, t.i. SIA "Gren Gulbene", un šis ienākumus apjoms nav attiecināms uz izvirzīto PPP projektu
</t>
      </text>
    </comment>
    <comment ref="E58" authorId="4" shapeId="0" xr:uid="{233F2CD1-D7D3-49D6-AA07-63850908B437}">
      <text>
        <t>[Komentārs ar pavedienu]
Jūsu Excel versija ļauj lasīt šo komentāru ar pavedienu, tomēr visi tā labojumi tiks noņemti, ja fails tiks atvērts jaunākā Excel versijā. Papildinformācija: https://go.microsoft.com/fwlink/?linkid=870924
Komentārs:
    paskaidrot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Autors</author>
  </authors>
  <commentList>
    <comment ref="C5" authorId="0" shapeId="0" xr:uid="{00000000-0006-0000-0700-000001000000}">
      <text>
        <r>
          <rPr>
            <b/>
            <sz val="9"/>
            <color indexed="81"/>
            <rFont val="Tahoma"/>
            <family val="2"/>
            <charset val="186"/>
          </rPr>
          <t>BR - būvniecības risks
PI - pieejamības risks
PR - pieprasījuma risks</t>
        </r>
        <r>
          <rPr>
            <sz val="9"/>
            <color indexed="81"/>
            <rFont val="Tahoma"/>
            <family val="2"/>
            <charset val="186"/>
          </rPr>
          <t xml:space="preserve">
</t>
        </r>
      </text>
    </comment>
    <comment ref="D5" authorId="0" shapeId="0" xr:uid="{00000000-0006-0000-0700-000002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5" authorId="0" shapeId="0" xr:uid="{00000000-0006-0000-0700-000003000000}">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20" authorId="0" shapeId="0" xr:uid="{6F7E0305-ADE9-4F03-8079-2D27A8CFF1EF}">
      <text>
        <r>
          <rPr>
            <b/>
            <sz val="9"/>
            <color indexed="81"/>
            <rFont val="Tahoma"/>
            <family val="2"/>
            <charset val="186"/>
          </rPr>
          <t>BR - būvniecības risks
PI - pieejamības risks
PR - pieprasījuma risks</t>
        </r>
        <r>
          <rPr>
            <sz val="9"/>
            <color indexed="81"/>
            <rFont val="Tahoma"/>
            <family val="2"/>
            <charset val="186"/>
          </rPr>
          <t xml:space="preserve">
</t>
        </r>
      </text>
    </comment>
    <comment ref="D20" authorId="0" shapeId="0" xr:uid="{AF5C80CE-5619-4DC4-9A5B-9BA155B83DEE}">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20" authorId="0" shapeId="0" xr:uid="{4D919F55-10CF-4C2B-A66D-7A32C22EEE74}">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35" authorId="0" shapeId="0" xr:uid="{00000000-0006-0000-0700-000004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35" authorId="0" shapeId="0" xr:uid="{00000000-0006-0000-0700-000005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35" authorId="0" shapeId="0" xr:uid="{7DEDF19E-5252-472C-9542-E566F1CB52B9}">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50" authorId="0" shapeId="0" xr:uid="{00000000-0006-0000-0700-000007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50" authorId="0" shapeId="0" xr:uid="{00000000-0006-0000-0700-000008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50" authorId="0" shapeId="0" xr:uid="{DB5697DC-6CA0-4D04-BFAB-72F5691E5D6B}">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65" authorId="0" shapeId="0" xr:uid="{00000000-0006-0000-0700-00000A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65" authorId="0" shapeId="0" xr:uid="{00000000-0006-0000-0700-00000B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65" authorId="0" shapeId="0" xr:uid="{7C3E09A9-BC04-46DD-822A-384D46EC239E}">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List>
</comments>
</file>

<file path=xl/sharedStrings.xml><?xml version="1.0" encoding="utf-8"?>
<sst xmlns="http://schemas.openxmlformats.org/spreadsheetml/2006/main" count="1357" uniqueCount="531">
  <si>
    <t>Publiskās un privātās partnerības projekta finanšu un ekonomiskie aprēķini</t>
  </si>
  <si>
    <t>Jā</t>
  </si>
  <si>
    <t>Nē</t>
  </si>
  <si>
    <t>Analizētās alternatīvas</t>
  </si>
  <si>
    <t>Atzīmēt</t>
  </si>
  <si>
    <t>PPP - partnerības iepirkums</t>
  </si>
  <si>
    <t>PPP - koncesija</t>
  </si>
  <si>
    <t>PPP - institucionālā partnerība</t>
  </si>
  <si>
    <t>Šūnu formāts:</t>
  </si>
  <si>
    <t>Ievades šūna</t>
  </si>
  <si>
    <t>Rezultāta šūna</t>
  </si>
  <si>
    <t>N.p.k.</t>
  </si>
  <si>
    <t>Tēma</t>
  </si>
  <si>
    <t>Jautājums</t>
  </si>
  <si>
    <t>Automātiski BILANCES UZSKAITĒ</t>
  </si>
  <si>
    <t>ĻOTI AUGSTS BŪTISKUMS</t>
  </si>
  <si>
    <t>AUGSTS BŪTISKUMS</t>
  </si>
  <si>
    <t>VIDĒJS BŪTISKUMS</t>
  </si>
  <si>
    <t>1. Objekta ekspluatācija un uzturēšana</t>
  </si>
  <si>
    <t>1.1.</t>
  </si>
  <si>
    <t>Ekspluatācijas un uzturēšanas kvalitātes standarti</t>
  </si>
  <si>
    <t>1.2.</t>
  </si>
  <si>
    <t>Uzturēšanas rezerves fonds</t>
  </si>
  <si>
    <t>b) Vai līgumā ir paredzētas tiesības publiskajam partnerim saņemt daļu vai visu fonda pārpalikumu, ja faktiskās uzturēšanas izmaksas ir bijušas zemākas nekā paredzēts līguma slēgšanas brīdī?</t>
  </si>
  <si>
    <t>1.3.</t>
  </si>
  <si>
    <t>Uzrurēšanas izmaksu ietaupījums</t>
  </si>
  <si>
    <t>Vai līgumā jebkādā veidā ir paredzētas tiesības publiskajam partnerim saņemt visu vai daļu no finanšu ietaupījumiem, kas radušies privātajam partnerim efektīvas aktīva uzturēšanas rezultātā (faktiskās uzturēšanas izmaksas ir zemākas nekā iepriekš paredzēts līguma slēgšanas brīdī)?</t>
  </si>
  <si>
    <t>2. Pieejamības maksājumu mehānisms</t>
  </si>
  <si>
    <t>2.1.</t>
  </si>
  <si>
    <t>Atskaitījumi, ja objekts nav pieejams vai pakalpojums sniegts sliktā kvalitātē</t>
  </si>
  <si>
    <t>2.2.</t>
  </si>
  <si>
    <t>Pieejamības/ nepieejamības noteikšana</t>
  </si>
  <si>
    <t>Vai līgumā kā minimums ir noteikti nosacījumi, pie kuriem aktīvs ir uzskatāms par pieejamu/ izmantojamu?</t>
  </si>
  <si>
    <t>2.3.</t>
  </si>
  <si>
    <t xml:space="preserve">Atskaitījumi, ja objekts nav pieejams </t>
  </si>
  <si>
    <t>Vai samērīguma (proporcionalitātes) princips atskaitījumu apmēra noteikšanai tiek piemērots "nozīmīgā" (piemēram 1 gads) laika periodā?</t>
  </si>
  <si>
    <t>Atskaitījumu ierobežošana</t>
  </si>
  <si>
    <t xml:space="preserve">Vai līgumā ir paredzēti tādi atskaitījumumi apmēra ierobežojumi, kas apdraud proporcionalitātes principa ievērošanu? </t>
  </si>
  <si>
    <t>2.5.</t>
  </si>
  <si>
    <t>Uz pieprasījumu balstīti pieejamības maksājumi</t>
  </si>
  <si>
    <t>a) Vai uz pieprasījumu balstītu pieejamības maksājumu gadījumā, pieprasījuma apmērs ir sadalīts diapazonos? 
Ja "Jā", sniegt atbildi uz b) un c) jautajumiem.
Ja "Nē", pāriet uz 2.6. jautājumu.</t>
  </si>
  <si>
    <t>2.6.</t>
  </si>
  <si>
    <t>Minimālo ieņēmumu garantija</t>
  </si>
  <si>
    <t>Vai līgumā ir paredzēta jebkāda veida minimālās izmantošanas vai minimālā ienākumu garantija privātajam partnerim?</t>
  </si>
  <si>
    <t>3. Citi pieejamības maksājumu nosacījumi</t>
  </si>
  <si>
    <t>3.1.</t>
  </si>
  <si>
    <t>Pienākums sākt veikt pieejamības maksājumus</t>
  </si>
  <si>
    <t xml:space="preserve">3.2. </t>
  </si>
  <si>
    <t>3.3.</t>
  </si>
  <si>
    <t>Ieņēmumi no trešajām pusēm</t>
  </si>
  <si>
    <t>4. Kompensācija par pirmstermiņa līguma pārtraukšanu</t>
  </si>
  <si>
    <t>4.1.</t>
  </si>
  <si>
    <t>Privātā partnera maksātnespēja</t>
  </si>
  <si>
    <t>4.1.1.</t>
  </si>
  <si>
    <t>Vai nosacījumi, kas paredz kopmensācijas apmēra aprēķināšanu, pamatojoties uz aktīva bilances vērtību, paredz ņemt vērā publiskā partnera izdevumus, kas radušies privātā partnera nepietiekamas darbības rezultātā?</t>
  </si>
  <si>
    <t>5. Finansēšanas nosacījumi</t>
  </si>
  <si>
    <t xml:space="preserve">5.1. </t>
  </si>
  <si>
    <t>Publiskā partnera līdzdalība projekta finansēšanā</t>
  </si>
  <si>
    <t xml:space="preserve">b) Vai publiskā partnera finansējuma vai cita veida atbalsta apmērs ir vienāds vai lielāks par 50% no objekta būvniecības kapitāliem izdevumiem? </t>
  </si>
  <si>
    <t xml:space="preserve">c) Vai publiskā partnera finansējuma vai cita veida atbalsta apmērs ir mazāks par 50%, bet lielāks par vienu trešdaļu no objekta būvniecības kapitāliem izdevumiem? </t>
  </si>
  <si>
    <t xml:space="preserve">d) Vai publiskā partnera finansējuma vai cita veida atbalsta apmērs ir vienāds vai mazāks par vienu trešdaļu, bet lielāks par 10% no objekta būvniecības kapitāliem izdevumiem? </t>
  </si>
  <si>
    <t>e) Vai publiskā partnera finansējuma vai cita veida atbalsta apmērs ir vienāds vai mazāks par 10% no objekta būvniecības kapitāliem izdevumiem?</t>
  </si>
  <si>
    <t>5.2.</t>
  </si>
  <si>
    <t>Publiskā partnera (vai citu valsts iestāžu) atbalsts</t>
  </si>
  <si>
    <t>Vai līgums paredz jebkāda veida atbalstu privātajam partnerim, nodrošinot minimālos ieņēmumus vai minimālo objekta izmantošanas garantiju?</t>
  </si>
  <si>
    <t>5.3.</t>
  </si>
  <si>
    <t>Tiesības pieprasīt refinansēšanos</t>
  </si>
  <si>
    <t xml:space="preserve">5.4. </t>
  </si>
  <si>
    <t>Tiesības saņemt daļu no ietaupījuma</t>
  </si>
  <si>
    <t xml:space="preserve">Vai līgums paredz publiskā partnera tiesības saņemt daļu no refinansēšanās ietaupījuma? </t>
  </si>
  <si>
    <t>6. Publiskā partnera (vai citu valsts iestāžu) ietekme</t>
  </si>
  <si>
    <t xml:space="preserve">6.1. </t>
  </si>
  <si>
    <t>Tiesības uz privatā partnera peļņu</t>
  </si>
  <si>
    <t>Vai līgumā ir paredzētas tiesības publiskajam partnerim saņemt daļu no privātā partnera peļņas? 
Ja "Jā", sniegt atbildi uz b), c) d) un e) jautājumiem.
Ja "Nē", pāriet uz 6.2. jautājumu.</t>
  </si>
  <si>
    <t>a) Vai peļņas daļa, kuru tiesīgs saņemt publiskais partneris, ir vienāda vai lielāka par 50%?</t>
  </si>
  <si>
    <t>Peļņas augstākā sliekšņa noteikšana</t>
  </si>
  <si>
    <t xml:space="preserve">Vai līgums paredz jebkāda veida privātā partnera peļņas ierobežošanu? </t>
  </si>
  <si>
    <t>a) Vai līgumā ir noteiktas kvalitātes prasības, kuras privātajam partnerim ir jāievēro, sniedzot pakalpojumu vai uzturot aktīvu?
Ja "Jā", sniegt atbildi uz b) jautājumu.
Ja "Nē", pāriet pie 1.2. jautājuma.</t>
  </si>
  <si>
    <t>a) Līgums paredz, ka netiek maksāta kompensācija</t>
  </si>
  <si>
    <t>b) Līgumā nav atrunāta kompensācijas aprēķināšanas kārtība</t>
  </si>
  <si>
    <t>c) Līguma tirgus vērtība</t>
  </si>
  <si>
    <t>d) Aktīva bilances vērtība</t>
  </si>
  <si>
    <t>e) Prioritārā aizņemtā kapitāla kompensācija</t>
  </si>
  <si>
    <t>Vai atskaitījuma apmērs par aktīva nepieejamību vai sliktu sniegtā pakalpojuma kvalitāti ir objektīvi nosakāms, piemērojot līguma noteikumus, un atskaitāms bez turpmākām sarunām starp pusēm?</t>
  </si>
  <si>
    <r>
      <t xml:space="preserve">c) Vai zemākā lietošanas diapozona vienības cena ir noteikta tādā līmeni, kas </t>
    </r>
    <r>
      <rPr>
        <i/>
        <sz val="9"/>
        <rFont val="Times New Roman"/>
        <family val="1"/>
        <charset val="186"/>
      </rPr>
      <t>"de facto"</t>
    </r>
    <r>
      <rPr>
        <sz val="9"/>
        <rFont val="Times New Roman"/>
        <family val="1"/>
        <charset val="186"/>
      </rPr>
      <t xml:space="preserve"> ir līdzīga minimālajai izmantošanai /ieņēmumu garantijai (skatīt 2.6. jautājumu)?</t>
    </r>
  </si>
  <si>
    <t>Vai līgums paredz sākt veikt pieejamības maksājumus privātajam partnerim pirms būvniecības pabeigšanas (izņemot gadījumus, kad būvniecība un pieejamība sadalīta pa posmiem)?</t>
  </si>
  <si>
    <r>
      <t>a) Vai līgums paredz regulāru privātā partnera izmaksu un attiecīgi pieejamības maksājumu apmēra koriģēšanu, izmantojot salīdzinošo novērtēšanu (</t>
    </r>
    <r>
      <rPr>
        <i/>
        <sz val="9"/>
        <rFont val="Times New Roman"/>
        <family val="1"/>
        <charset val="186"/>
      </rPr>
      <t>benchmarking</t>
    </r>
    <r>
      <rPr>
        <sz val="9"/>
        <rFont val="Times New Roman"/>
        <family val="1"/>
        <charset val="186"/>
      </rPr>
      <t>) un tirgus izpēti?
Ja "Jā", sniegt atbildi uz b) jautājumu.
Ja "Nē", pāriet uz 3.3. jautājumu.</t>
    </r>
  </si>
  <si>
    <r>
      <t xml:space="preserve">b) Vai līgums paredz </t>
    </r>
    <r>
      <rPr>
        <u/>
        <sz val="9"/>
        <rFont val="Times New Roman"/>
        <family val="1"/>
        <charset val="186"/>
      </rPr>
      <t>tika</t>
    </r>
    <r>
      <rPr>
        <sz val="9"/>
        <rFont val="Times New Roman"/>
        <family val="1"/>
        <charset val="186"/>
      </rPr>
      <t>i tādu pieejamības maksājumu koriģēšanu, kas sedz privātā partnera izmaksas par sekundāro pakalojumu sniegšanu objekta uzturēšanai?</t>
    </r>
  </si>
  <si>
    <t>a) Vai maksājumu apmērs, ko publiskais partneris plāno saņemt no trešajām pusēm līguma periodā ir vienāds vai lielāks par 20%, bet nepārsniedz 50% no plānotajiem pieejamības maksājumiem privātajam partnerim?</t>
  </si>
  <si>
    <t>b) Vai maksājumu apmērs, ko publiskais partneris plāno saņemt no trešajām pusem līguma periodā ir vienāds vai lielāks par 5%, bet nepārsniedz 20% no plānotajiem pieejamības maksājumiem privātajam partnerim?</t>
  </si>
  <si>
    <r>
      <rPr>
        <i/>
        <vertAlign val="superscript"/>
        <sz val="9"/>
        <color theme="1"/>
        <rFont val="Times New Roman"/>
        <family val="1"/>
        <charset val="186"/>
      </rPr>
      <t xml:space="preserve">1) </t>
    </r>
    <r>
      <rPr>
        <i/>
        <sz val="9"/>
        <color theme="1"/>
        <rFont val="Times New Roman"/>
        <family val="1"/>
        <charset val="186"/>
      </rPr>
      <t xml:space="preserve">Papildu informāciju un kritērijus skat. https://www.eib.org/attachments/thematic/epec_eurostat_statistical_guide_en.pdf </t>
    </r>
  </si>
  <si>
    <r>
      <t xml:space="preserve">Atbilde
</t>
    </r>
    <r>
      <rPr>
        <b/>
        <sz val="9"/>
        <color rgb="FF0070C0"/>
        <rFont val="Times New Roman"/>
        <family val="1"/>
        <charset val="186"/>
      </rPr>
      <t>[varianti izvēlnē]</t>
    </r>
  </si>
  <si>
    <t>a) Vai ir paredzēta publiskā partnera līdzdalība finansējuma nodrošināšanā projekta realizācijai?
Ja "Jā", sniegt atbildi uz b), c), d) un e) jautājumiem.
Ja "Nē", pāriet uz 5.2. jautājumu.</t>
  </si>
  <si>
    <t>b) Vai peļņas daļa, kuru tiesīgs saņemt publiskais partneris, ir mazāka par 50%, bet lielāka par vienu trešdaļu?</t>
  </si>
  <si>
    <t>c) Vai peļņas daļa, kuru tiesīgs saņemt publiskais partneris, ir mazāka par vienu trešdaļu, bet lielāka par 20%?</t>
  </si>
  <si>
    <t>d) Vai peļņas daļa, kuru tiesīgs saņemt publiskais partneris, ir vienāda vai mazāka par 20%, bet lielāka par 10%?</t>
  </si>
  <si>
    <t>a) Vai līgumā ir paredzēts pienākums privātajam partnerim uzturēt naudas rezerves fondu, kas paredzēts aktīva nākotnes uzturēšanas izmaksu segšanai?
Ja "Jā", sniegt atbildi uz b)  jautājumu.
Ja "Nē", pāriet pie 1.3. jautājuma.</t>
  </si>
  <si>
    <t>b) Vai visaugstākās lietošanas diapozona vienības cena ir noteikta 0 (nulle) vai tuvu tai?</t>
  </si>
  <si>
    <t>Vai līgums paredz publiskā partnera tiesības pieprasīt, lai privātais partneris refinansē aizdevumu?</t>
  </si>
  <si>
    <t>6.2.</t>
  </si>
  <si>
    <t>Salīdzinošā novērtēšana un tirgus izpēte</t>
  </si>
  <si>
    <t>Neattiecas</t>
  </si>
  <si>
    <t>Citi kritēriji</t>
  </si>
  <si>
    <t>Risku analīze</t>
  </si>
  <si>
    <t>Risku kvantificēšana</t>
  </si>
  <si>
    <t>Risks</t>
  </si>
  <si>
    <t>Kapitāliefuldījumu fāze</t>
  </si>
  <si>
    <t>Risks 1:</t>
  </si>
  <si>
    <t>Risks 2:</t>
  </si>
  <si>
    <t>Risks 3:</t>
  </si>
  <si>
    <t>Risks 4:</t>
  </si>
  <si>
    <t>…</t>
  </si>
  <si>
    <t>Projekta īstenošanas fāze</t>
  </si>
  <si>
    <t>Riska kategorija</t>
  </si>
  <si>
    <t>Riska bāze, EUR</t>
  </si>
  <si>
    <t>Riska ietekme, %</t>
  </si>
  <si>
    <t>Riska iestāšanās varbūtība, %</t>
  </si>
  <si>
    <t>Riska līmenis, %</t>
  </si>
  <si>
    <t>Pārdale publiskajam partnerim, %</t>
  </si>
  <si>
    <t>Pārdale privātajam partnerim, %</t>
  </si>
  <si>
    <t>Privātā partnera riska izmaksas, EUR</t>
  </si>
  <si>
    <t>Publiskā partnera riska izmaksas, EUR</t>
  </si>
  <si>
    <t>BR</t>
  </si>
  <si>
    <t>PI</t>
  </si>
  <si>
    <t>PR</t>
  </si>
  <si>
    <t>PPP PARTNERĪBAS LĪGUMS</t>
  </si>
  <si>
    <t>PPP KONCESIJAS LĪGUMS</t>
  </si>
  <si>
    <t>PPP INSTITUCIONĀLĀ PARTNERĪBA</t>
  </si>
  <si>
    <t>Risku analīzes kopsavilkums</t>
  </si>
  <si>
    <t>Būvniecības riska izmaksas</t>
  </si>
  <si>
    <t>Pieejamības riska izmaksas</t>
  </si>
  <si>
    <t>Pieprasījuma riska izmaksas</t>
  </si>
  <si>
    <t>Riska bāze
(izmaksu pozīcija)</t>
  </si>
  <si>
    <t>Privātais partneris, EUR</t>
  </si>
  <si>
    <t>Publiskais partneris, EUR</t>
  </si>
  <si>
    <t>Publiskā partnera risku daļa, %</t>
  </si>
  <si>
    <t>Ieguldījumam atbilstošās vērtības un paredzamās līgumcenas noteikšana</t>
  </si>
  <si>
    <t>EUR</t>
  </si>
  <si>
    <t>Publiskā partnera risku izmaksu NPV</t>
  </si>
  <si>
    <t>Publiskā partnera kopējās naudas plūsmas NPV</t>
  </si>
  <si>
    <t>Partnerības modelis</t>
  </si>
  <si>
    <t>Koncesijas modelis</t>
  </si>
  <si>
    <t>Institucionālais modelis</t>
  </si>
  <si>
    <t>N/A</t>
  </si>
  <si>
    <t>Modelis</t>
  </si>
  <si>
    <t>Paredzamā līgumcena</t>
  </si>
  <si>
    <t>Valūta</t>
  </si>
  <si>
    <t>Inflācija:</t>
  </si>
  <si>
    <t>Publiskā partnera naudas plūsma</t>
  </si>
  <si>
    <t>Kapitālieguldījumu izmaksas</t>
  </si>
  <si>
    <t>Projekta īstenošanas izmaksas</t>
  </si>
  <si>
    <t>Mainīgās izmaksas</t>
  </si>
  <si>
    <t>Fiksētās izmaksas</t>
  </si>
  <si>
    <t>Projekta ieņēmumi</t>
  </si>
  <si>
    <t>Ieņēmumi 1</t>
  </si>
  <si>
    <t>Ieņēmumi 2</t>
  </si>
  <si>
    <t>Ieņēmumi 3</t>
  </si>
  <si>
    <t>Publiskā partnera naudas plūsmas IRR</t>
  </si>
  <si>
    <t>Nominālais diskonta faktors</t>
  </si>
  <si>
    <t>Diskontētā naudas plūsma</t>
  </si>
  <si>
    <t>Ievades šūnas zīme</t>
  </si>
  <si>
    <t>-</t>
  </si>
  <si>
    <t>+</t>
  </si>
  <si>
    <t>Publiskā partnera naudas plūsmas NPV</t>
  </si>
  <si>
    <t>Publiskā partnera kopējā naudas plūsma</t>
  </si>
  <si>
    <t>Publiskā partnera risku izmaksas</t>
  </si>
  <si>
    <t>Diskontētās publiskā partnera riska izmaksas</t>
  </si>
  <si>
    <t>Publiskā partnera riska izmaksu NPV</t>
  </si>
  <si>
    <t>Projekta īstenošanas gads</t>
  </si>
  <si>
    <t>GADS (kalendārais)</t>
  </si>
  <si>
    <t>IRR funkcija</t>
  </si>
  <si>
    <t>Diskontētā kopējā naudas plūsma</t>
  </si>
  <si>
    <t>Privātā partnera naudas plūsma</t>
  </si>
  <si>
    <t>Privātā partnera naudas plūsmas IRR</t>
  </si>
  <si>
    <t>Ieņēmumi no publiskā partnera maksājumiem</t>
  </si>
  <si>
    <t>Publiskā partnera maksājumi privātajam partnerim</t>
  </si>
  <si>
    <t>Privātā partnera naudas plūsmas NPV</t>
  </si>
  <si>
    <t>Kapitālieguldījumu izmaksas 1</t>
  </si>
  <si>
    <t>Kapitālieguldījumu izmaksas 2</t>
  </si>
  <si>
    <t>Kapitālieguldījumu izmaksas 3</t>
  </si>
  <si>
    <t>Mainīgās īstenošanas izmaksas 1</t>
  </si>
  <si>
    <t>Mainīgās īstenošanas izmaksas 2</t>
  </si>
  <si>
    <t>Mainīgās īstenošanas izmaksas 3</t>
  </si>
  <si>
    <t>Fiksētās īstenošanas izmaksas 1</t>
  </si>
  <si>
    <t>Fiksētās īstenošanas izmaksas 2</t>
  </si>
  <si>
    <t>Fiksētās īstenošanas izmaksas 3</t>
  </si>
  <si>
    <t>Riska bāzes (izmaksu pozīciju) nolaižamās izvēlnes</t>
  </si>
  <si>
    <t>NPV_PPP_partnerība</t>
  </si>
  <si>
    <t>NPV_PPP_koncesija</t>
  </si>
  <si>
    <t>NPV_PPP_institucionālā</t>
  </si>
  <si>
    <t>Pārskatīt sarakstu pēc NPV darba lapu aizpildīšanas, koriģējot / dzēšot / papildinot izmaksu / ieņēmumu pozīcijas un atstāt sarakstā tikai tās pozīcijas, kas tālāk tiek izmantotas kā riska bāzes!</t>
  </si>
  <si>
    <t>KOPĀ</t>
  </si>
  <si>
    <t>Privātā partnera maksājumi publiskajam partnerim</t>
  </si>
  <si>
    <t>Reālā diskonta likme</t>
  </si>
  <si>
    <t>Diskontētās izmaksas</t>
  </si>
  <si>
    <t>Privātā partnera (kopsabiedrības) naudas plūsma</t>
  </si>
  <si>
    <t>Privātā partnera kopējā naudas plūsma</t>
  </si>
  <si>
    <t>Privātā partnera kopējās naudas plūsmas NPV</t>
  </si>
  <si>
    <t>Privātā partnera kopējās naudas plūsmas IRR</t>
  </si>
  <si>
    <t>Projekta tiešās izmaksas</t>
  </si>
  <si>
    <t>Tiešās izmaksas 1</t>
  </si>
  <si>
    <t>Tiešās izmaksas 2</t>
  </si>
  <si>
    <t>Tiešās izmaksas 3</t>
  </si>
  <si>
    <t>Projekta netiešās izmaksas</t>
  </si>
  <si>
    <t>Netiešās izmaksas 1</t>
  </si>
  <si>
    <t>Netiešās izmaksas 2</t>
  </si>
  <si>
    <t>Netiešās izmaksas 3</t>
  </si>
  <si>
    <t>Privātā partnera (kopsabiedrības) peļņas sadalījums</t>
  </si>
  <si>
    <t>Privātā dalībnieka peļņas daļa</t>
  </si>
  <si>
    <t>Publiskā partnera peļņas daļa</t>
  </si>
  <si>
    <t>%</t>
  </si>
  <si>
    <t>Privātā dalībnieka naudas plūsma</t>
  </si>
  <si>
    <t>Privātā dalībnieka maksājumi publiskajam partnerim</t>
  </si>
  <si>
    <t>Privātā dalībnieka naudas plūsmas IRR</t>
  </si>
  <si>
    <t>Publiskā partnera maksājumi privātajam dalībniekam</t>
  </si>
  <si>
    <t>Privātā dalībnieka naudas plūsmas NPV</t>
  </si>
  <si>
    <t>riski</t>
  </si>
  <si>
    <t>Partnerības iepirkuma modelis</t>
  </si>
  <si>
    <t>Institucionālās partnerības modelis</t>
  </si>
  <si>
    <t>Pieņēmumi</t>
  </si>
  <si>
    <t>Pieņēmuma nosaukums</t>
  </si>
  <si>
    <t>Izjeas dati, kas tālāk izmantoti aprēķinos</t>
  </si>
  <si>
    <t>Avots:</t>
  </si>
  <si>
    <t>Inflācija</t>
  </si>
  <si>
    <t>MAKROEKONOMISKIE PIEŅĒMUMI</t>
  </si>
  <si>
    <t>Iedzīvotāja skaits reģionā / teritorijā</t>
  </si>
  <si>
    <t>PIEŅĒMUMI PROJEKTA IEŅĒMUMU PROGNOZEI</t>
  </si>
  <si>
    <t>PIEŅĒMUMI PROJEKTA IZMAKSU PROGNOZEI</t>
  </si>
  <si>
    <t>Mērvienība</t>
  </si>
  <si>
    <t>Jutīguma analīze</t>
  </si>
  <si>
    <t>Svārstības</t>
  </si>
  <si>
    <t>… svārstība</t>
  </si>
  <si>
    <t>Parametrs</t>
  </si>
  <si>
    <t>Svārstība, %</t>
  </si>
  <si>
    <t>... svārstība</t>
  </si>
  <si>
    <t>v. 1</t>
  </si>
  <si>
    <t>Bāzes modelis I</t>
  </si>
  <si>
    <t>Bāzes modelis II</t>
  </si>
  <si>
    <t>BĀZES MODELIS I</t>
  </si>
  <si>
    <t>BĀZES MODELIS II</t>
  </si>
  <si>
    <t>Privātā dalībnieka peļņas daļa, %</t>
  </si>
  <si>
    <t>Publiskā partnera peļņas daļa, %</t>
  </si>
  <si>
    <t>Riska bāze</t>
  </si>
  <si>
    <t>Publiskā partnera riska izmaksu koeficienti</t>
  </si>
  <si>
    <t>NPV_Bāze_I</t>
  </si>
  <si>
    <t>NPV_Bāze_II</t>
  </si>
  <si>
    <t xml:space="preserve">Risks 4: </t>
  </si>
  <si>
    <r>
      <t xml:space="preserve">Koeficients
</t>
    </r>
    <r>
      <rPr>
        <sz val="8"/>
        <color theme="1"/>
        <rFont val="Times New Roman"/>
        <family val="1"/>
      </rPr>
      <t>(riska līm.* pārdale publ. partn.)</t>
    </r>
  </si>
  <si>
    <t>Ieguldījumam atbilstošā vērtība – Bāze I</t>
  </si>
  <si>
    <t>Ieguldījumam atbilstošā vērtība – Bāze II</t>
  </si>
  <si>
    <t>b) Vai publiskajam partnerim līgumā ir paredzētas tiesības vērst sankcijas pret privāto partneri, ja kvalitātes prasības netiek ievērotas?</t>
  </si>
  <si>
    <t>Kāda metode līgumā ir paredzēta kompensācijas apmēra noteikšani, kas izmaksājama privātajam partnerim, pirmstermiņa līguma pārtraukšanas gadījumā, ko izraisījusi privātā partnera maksātnespējas iestāšanās?
Ja "a) Līgums paredz, ka netiek maksāta kompensācija", tad nav ietekmes uz statistisko uzskaiti
Ja "b) Līgumā nav atrunāta kompensācijas aprēķināšanas kārtība", tad nepieciešama atsevišķa analīze, lai noteiktu statistisko nozīmi.
Ja "c) Līguma tirgus vērtība", tad nepieciešama atsevišķa analīze, lai noteiktu statistisko nozīmi
Ja "d) Aktīva bilances vērtība" sniegt atbildes uz 4.1.1. jautājumu.
Ja "e) Prioritārā aizņemtā kapitāla kompensācija", tad nepieciešama atsevišķa analīze, lai noteiktu statistisko uzskaiti</t>
  </si>
  <si>
    <r>
      <t>Indikatīvā statistiskās uzskaites</t>
    </r>
    <r>
      <rPr>
        <b/>
        <i/>
        <vertAlign val="superscript"/>
        <sz val="11"/>
        <color theme="1"/>
        <rFont val="Times New Roman"/>
        <family val="1"/>
        <charset val="186"/>
      </rPr>
      <t>1)</t>
    </r>
    <r>
      <rPr>
        <b/>
        <i/>
        <sz val="11"/>
        <color theme="1"/>
        <rFont val="Times New Roman"/>
        <family val="1"/>
        <charset val="186"/>
      </rPr>
      <t xml:space="preserve"> pārbaudes lapa – ar tās palīdzību var tikt veikts indikatīvs novērtējums. Pirms Excel aizpildīšanas nepieciešams iepazīties ar EPEC un Eurostat izstrādātajām vadlīnijām. Līguma projekta tālākā izstrādē būs jāņem vērā vadlīnijās noteiktie nosacījumi, un tam var būt būtiska materiāla ietekme uz projekta izmaksām, tādēļ svarīgi ir savlaicīgi detalizēti iepazīties ar vadlīnījās atrunātajiem nosacījumiem.</t>
    </r>
  </si>
  <si>
    <t>0. Vispārīgi</t>
  </si>
  <si>
    <t>Vai projekts kvalificējas privātai un publiskai partnerībai atbilstoši Eurostat un EPEC izstrādātajām vadlīnijām?</t>
  </si>
  <si>
    <t>4.2.</t>
  </si>
  <si>
    <t>Attaisnojošie iemesli</t>
  </si>
  <si>
    <r>
      <t xml:space="preserve">Vai līgums paredz skaidri definētus, ierobežotu skaitu </t>
    </r>
    <r>
      <rPr>
        <i/>
        <sz val="9"/>
        <rFont val="Times New Roman"/>
        <family val="1"/>
      </rPr>
      <t>force majeur</t>
    </r>
    <r>
      <rPr>
        <sz val="9"/>
        <rFont val="Times New Roman"/>
        <family val="1"/>
      </rPr>
      <t xml:space="preserve"> un atvieglojumu gadījumus, kurus nav iespējams paredzēt un kas ir ārpus privātā partnera kontroles, un neietver vispārējās sociālekonomiskās norises?</t>
    </r>
  </si>
  <si>
    <t>5.5.</t>
  </si>
  <si>
    <t>Procentu likmju izmaiņas</t>
  </si>
  <si>
    <t>Vai pieejamības maksājumi mainīsies atkarībā no procentu likmju izmaiņām?</t>
  </si>
  <si>
    <t>6.3.</t>
  </si>
  <si>
    <t>Pār privāto partneri īstenotā kontrole</t>
  </si>
  <si>
    <t>Vai vispārējās valdības sektors tieši vai netieši kontrolē privāto partneri, mērķsabiedrību vai kopsabiedrību?</t>
  </si>
  <si>
    <t>Makroekonomiskie pieņēmumi</t>
  </si>
  <si>
    <t>Iekšzemes kopprodukta deflators (%)</t>
  </si>
  <si>
    <t>darba algas (bruto) izmaiņas, salīdzināmās cenās (%)</t>
  </si>
  <si>
    <r>
      <t>PM</t>
    </r>
    <r>
      <rPr>
        <vertAlign val="subscript"/>
        <sz val="10"/>
        <rFont val="Calibri"/>
        <family val="2"/>
        <scheme val="minor"/>
      </rPr>
      <t>2,5</t>
    </r>
    <r>
      <rPr>
        <sz val="10"/>
        <rFont val="Calibri"/>
        <family val="2"/>
        <charset val="186"/>
        <scheme val="minor"/>
      </rPr>
      <t xml:space="preserve"> emisiju samazinājuma ieguvumi</t>
    </r>
  </si>
  <si>
    <r>
      <t>NO</t>
    </r>
    <r>
      <rPr>
        <vertAlign val="subscript"/>
        <sz val="10"/>
        <rFont val="Calibri"/>
        <family val="2"/>
        <scheme val="minor"/>
      </rPr>
      <t>2</t>
    </r>
    <r>
      <rPr>
        <sz val="10"/>
        <rFont val="Calibri"/>
        <family val="2"/>
        <charset val="186"/>
        <scheme val="minor"/>
      </rPr>
      <t xml:space="preserve"> emisiju samazinājuma ieguvumi</t>
    </r>
  </si>
  <si>
    <r>
      <t>SO</t>
    </r>
    <r>
      <rPr>
        <vertAlign val="subscript"/>
        <sz val="10"/>
        <rFont val="Calibri"/>
        <family val="2"/>
        <scheme val="minor"/>
      </rPr>
      <t>2</t>
    </r>
    <r>
      <rPr>
        <sz val="10"/>
        <rFont val="Calibri"/>
        <family val="2"/>
        <charset val="186"/>
        <scheme val="minor"/>
      </rPr>
      <t xml:space="preserve"> emisiju samazinājuma ieguvumi</t>
    </r>
  </si>
  <si>
    <t>Energoresursu patēriņš siltumapgādes pakalpojumu nodrošināšanai</t>
  </si>
  <si>
    <t>Esošā situācija</t>
  </si>
  <si>
    <t>Izmaiņas</t>
  </si>
  <si>
    <t>Apkures veids</t>
  </si>
  <si>
    <r>
      <t>PM</t>
    </r>
    <r>
      <rPr>
        <b/>
        <vertAlign val="subscript"/>
        <sz val="10"/>
        <color rgb="FF000000"/>
        <rFont val="Calibri"/>
        <family val="2"/>
        <scheme val="minor"/>
      </rPr>
      <t xml:space="preserve">2,5 </t>
    </r>
    <r>
      <rPr>
        <b/>
        <sz val="10"/>
        <color rgb="FF000000"/>
        <rFont val="Calibri"/>
        <family val="2"/>
        <scheme val="minor"/>
      </rPr>
      <t>daļiņu emisijas faktors (mg/MJ)</t>
    </r>
  </si>
  <si>
    <t>Situācija AR Projektu</t>
  </si>
  <si>
    <t>Šķelda</t>
  </si>
  <si>
    <t>n/a</t>
  </si>
  <si>
    <t>Augstākās siltumspējas koeficienti (MJ/kg)</t>
  </si>
  <si>
    <t>MJ/kg</t>
  </si>
  <si>
    <t xml:space="preserve">Šķelda </t>
  </si>
  <si>
    <r>
      <t>PM</t>
    </r>
    <r>
      <rPr>
        <b/>
        <vertAlign val="subscript"/>
        <sz val="10"/>
        <color theme="1"/>
        <rFont val="Calibri"/>
        <family val="2"/>
        <scheme val="minor"/>
      </rPr>
      <t>2,5</t>
    </r>
    <r>
      <rPr>
        <b/>
        <sz val="10"/>
        <color theme="1"/>
        <rFont val="Calibri"/>
        <family val="2"/>
        <scheme val="minor"/>
      </rPr>
      <t xml:space="preserve"> daļiņu emisiju samazinājuma ieguvumi (EUR/gadā)</t>
    </r>
  </si>
  <si>
    <r>
      <t>NO</t>
    </r>
    <r>
      <rPr>
        <b/>
        <vertAlign val="subscript"/>
        <sz val="10"/>
        <color rgb="FF000000"/>
        <rFont val="Calibri"/>
        <family val="2"/>
        <scheme val="minor"/>
      </rPr>
      <t>2</t>
    </r>
    <r>
      <rPr>
        <b/>
        <sz val="10"/>
        <color rgb="FF000000"/>
        <rFont val="Calibri"/>
        <family val="2"/>
        <scheme val="minor"/>
      </rPr>
      <t xml:space="preserve"> emisijas faktors (mg/MJ)</t>
    </r>
  </si>
  <si>
    <r>
      <t>NO</t>
    </r>
    <r>
      <rPr>
        <b/>
        <vertAlign val="subscript"/>
        <sz val="10"/>
        <color theme="1"/>
        <rFont val="Calibri"/>
        <family val="2"/>
        <scheme val="minor"/>
      </rPr>
      <t>2</t>
    </r>
    <r>
      <rPr>
        <b/>
        <sz val="10"/>
        <color theme="1"/>
        <rFont val="Calibri"/>
        <family val="2"/>
        <scheme val="minor"/>
      </rPr>
      <t xml:space="preserve"> emisiju samazinājuma ieguvumi (EUR/gadā)</t>
    </r>
  </si>
  <si>
    <r>
      <t>SO</t>
    </r>
    <r>
      <rPr>
        <b/>
        <vertAlign val="subscript"/>
        <sz val="10"/>
        <color rgb="FF000000"/>
        <rFont val="Calibri"/>
        <family val="2"/>
        <scheme val="minor"/>
      </rPr>
      <t>2</t>
    </r>
    <r>
      <rPr>
        <b/>
        <sz val="10"/>
        <color rgb="FF000000"/>
        <rFont val="Calibri"/>
        <family val="2"/>
        <scheme val="minor"/>
      </rPr>
      <t xml:space="preserve"> emisijas faktors (mg/MJ)</t>
    </r>
  </si>
  <si>
    <r>
      <t>SO</t>
    </r>
    <r>
      <rPr>
        <b/>
        <vertAlign val="subscript"/>
        <sz val="10"/>
        <color theme="1"/>
        <rFont val="Calibri"/>
        <family val="2"/>
        <scheme val="minor"/>
      </rPr>
      <t>2</t>
    </r>
    <r>
      <rPr>
        <b/>
        <sz val="10"/>
        <color theme="1"/>
        <rFont val="Calibri"/>
        <family val="2"/>
        <scheme val="minor"/>
      </rPr>
      <t xml:space="preserve"> emisiju samazinājuma ieguvumi (EUR/gadā)</t>
    </r>
  </si>
  <si>
    <t>Kopā</t>
  </si>
  <si>
    <t>Investīcijas</t>
  </si>
  <si>
    <r>
      <t>Šķelda (beram m</t>
    </r>
    <r>
      <rPr>
        <vertAlign val="superscript"/>
        <sz val="10"/>
        <color theme="1"/>
        <rFont val="Calibri"/>
        <family val="2"/>
        <scheme val="minor"/>
      </rPr>
      <t>3</t>
    </r>
    <r>
      <rPr>
        <sz val="10"/>
        <color theme="1"/>
        <rFont val="Calibri"/>
        <family val="2"/>
        <scheme val="minor"/>
      </rPr>
      <t>)</t>
    </r>
  </si>
  <si>
    <t>EUR/MWh</t>
  </si>
  <si>
    <t>Kurināmā veids</t>
  </si>
  <si>
    <t>Pārējās izmaksas</t>
  </si>
  <si>
    <t>Elektroenerģijas izmaksas</t>
  </si>
  <si>
    <t>Darbaspēka izmaksu fiskālās korekcijas</t>
  </si>
  <si>
    <t>Darbaspēka komponente investīcijās (%)</t>
  </si>
  <si>
    <t>Fiskāli koriģētās investīciju izmaksas</t>
  </si>
  <si>
    <t>Operacionālo izmaksu izmaiņas</t>
  </si>
  <si>
    <t>Projekta ERR/C</t>
  </si>
  <si>
    <t>Projekta ENPV/C</t>
  </si>
  <si>
    <t>jūlijs, 2024</t>
  </si>
  <si>
    <t>Ienākums no pašvaldības sektora</t>
  </si>
  <si>
    <t>Ienākums no privātā sektora</t>
  </si>
  <si>
    <t>IAV</t>
  </si>
  <si>
    <t xml:space="preserve">NPV bāzes modelis </t>
  </si>
  <si>
    <t>NPV Koncesijas modelis</t>
  </si>
  <si>
    <t>Paredzamā līgumcena, milj. EUR</t>
  </si>
  <si>
    <t>Kredītresursi kapitālieguldījumu finansēšanai</t>
  </si>
  <si>
    <t>Kredīta pamastummas maksājumi</t>
  </si>
  <si>
    <t>Kredīta % maksājumi</t>
  </si>
  <si>
    <t>Publiskā sektora finansēšanas shēma</t>
  </si>
  <si>
    <t>Aizdevuma apjoms</t>
  </si>
  <si>
    <t>Pamatsummas atmaksa</t>
  </si>
  <si>
    <t>Kredīta % maksājums</t>
  </si>
  <si>
    <t>Aizdevuma atlikums</t>
  </si>
  <si>
    <t>Termiņš (gadi)</t>
  </si>
  <si>
    <t>Kredīta likme</t>
  </si>
  <si>
    <t>Kapitālieguldīumu svārstība</t>
  </si>
  <si>
    <t>Uzturēšanas izmaksu svārstība</t>
  </si>
  <si>
    <t>jūtīgums</t>
  </si>
  <si>
    <t>B/C</t>
  </si>
  <si>
    <t>Nr.</t>
  </si>
  <si>
    <t>Risks 1: Būvniecības izmaksu palielināšanās risks</t>
  </si>
  <si>
    <t>Risks 2: Darbu pabeigšanas kavēšanās risks</t>
  </si>
  <si>
    <t>Risks 3: Būvniecības kvalitātes un standartu risks</t>
  </si>
  <si>
    <t>Risks 1: Veiktspējas un cenas risks</t>
  </si>
  <si>
    <t>Risks 2: Uzturēšanas kvalitātes risks</t>
  </si>
  <si>
    <t>Risks 3: Palielinātu ekspluatācijas izmaksu risks</t>
  </si>
  <si>
    <t>Risks 4: Pieprasījuma apjoma risks</t>
  </si>
  <si>
    <t>Sabiedrības diskontētās izmaksas</t>
  </si>
  <si>
    <t>tiks precizēta pēc aprēķinu saskaņošanas</t>
  </si>
  <si>
    <t>x</t>
  </si>
  <si>
    <t>Citas ilgtermiņa saistības</t>
  </si>
  <si>
    <t>Saistību apjoms % no plānotajiem pamatbudžeta ieņēmumiem</t>
  </si>
  <si>
    <t>Plānotie pamatbudžeta ieņēmumi bez plānotajiem transferta ieņēmumiem no valsts budžeta noteiktam mērķim (izņemot klimata pārmaiņu finanšu instrumenta finansējumu) un plānotajām iemaksām pašvaldību finanšu izlīdzināšanas fondā saimnieciskajā gadā:</t>
  </si>
  <si>
    <t>ŠIS DOKUMENTS IR SAGATAVOTS UN ELEKTRONISKI PARAKSTĪTS EPĀRSKATOS, IZMANTOJOT EPĀRSKATU AUTENTIFIKĀCIJAS RĪKUS</t>
  </si>
  <si>
    <t>Pašvaldības saistības, EUR</t>
  </si>
  <si>
    <t>turpmākos gados</t>
  </si>
  <si>
    <t>na</t>
  </si>
  <si>
    <t>Kopējais saistību apjoms pēc projekta īstenošanas</t>
  </si>
  <si>
    <t>Pašvaldības maksājumi par siltumenerģiju pēc projekta</t>
  </si>
  <si>
    <t>Paredzamā līgumcena (sabiedrības kopējās izmaksas)</t>
  </si>
  <si>
    <t>Sabiedrības NPV</t>
  </si>
  <si>
    <t>Sabiedrības kopējās naudas plūsmas NPV</t>
  </si>
  <si>
    <t>Sabiedrības risku izmaksas</t>
  </si>
  <si>
    <t>Sabiedrības naudas plūsma</t>
  </si>
  <si>
    <t>Sabiedrības maksājumi privātajam partnerim</t>
  </si>
  <si>
    <t>Paredzamā līgumcena (maksājums privātajam partnerim)</t>
  </si>
  <si>
    <t>Paredzamā līgumcena (diskontēta)</t>
  </si>
  <si>
    <t>Sabiedrības kopējā naudas plūsma</t>
  </si>
  <si>
    <t>Uzņēmuma vadība</t>
  </si>
  <si>
    <t>Kapitālieguldījumu vadība</t>
  </si>
  <si>
    <t>Kapitālieguldījumu skaņošana pašvaldībā</t>
  </si>
  <si>
    <t>Tekošo darbību skaņošana pašvaldībā</t>
  </si>
  <si>
    <t>Dalība pašvaldības komsijās</t>
  </si>
  <si>
    <t>Kurināmā iepirkuma izmaksu sadārdzinājums PIL rezultātā</t>
  </si>
  <si>
    <t>Kapitālieguldījumu izmaksu sadārdzinājums PIL rezultātā</t>
  </si>
  <si>
    <t>Kapitālieguldījumu vadības riska izmaksas</t>
  </si>
  <si>
    <t>Kurināmā materiāla iegādes riska izmaksas</t>
  </si>
  <si>
    <t>Bāzes scenārijs</t>
  </si>
  <si>
    <t>Koncesijas scenārijs</t>
  </si>
  <si>
    <t>Saimniecības vadība</t>
  </si>
  <si>
    <t>Saimniecības ikdienas tehniskā vadība</t>
  </si>
  <si>
    <t>EUR/ gadā</t>
  </si>
  <si>
    <t>Novērsto nāves gadījumu sociālekonomiskie ieguvumi</t>
  </si>
  <si>
    <t>EUR / cg</t>
  </si>
  <si>
    <t>Viena zaudētā cilvēkgada sociālekonomiskā vērtība</t>
  </si>
  <si>
    <r>
      <t>dēļ NO</t>
    </r>
    <r>
      <rPr>
        <i/>
        <vertAlign val="subscript"/>
        <sz val="10"/>
        <color theme="1"/>
        <rFont val="Calibri"/>
        <family val="2"/>
        <scheme val="minor"/>
      </rPr>
      <t>2</t>
    </r>
    <r>
      <rPr>
        <i/>
        <sz val="10"/>
        <color theme="1"/>
        <rFont val="Calibri"/>
        <family val="2"/>
        <scheme val="minor"/>
      </rPr>
      <t xml:space="preserve"> emisiju samazinājuma</t>
    </r>
  </si>
  <si>
    <r>
      <t>dēļ PM</t>
    </r>
    <r>
      <rPr>
        <i/>
        <vertAlign val="subscript"/>
        <sz val="10"/>
        <color theme="1"/>
        <rFont val="Calibri"/>
        <family val="2"/>
        <scheme val="minor"/>
      </rPr>
      <t>2,5</t>
    </r>
    <r>
      <rPr>
        <i/>
        <sz val="10"/>
        <color theme="1"/>
        <rFont val="Calibri"/>
        <family val="2"/>
        <scheme val="minor"/>
      </rPr>
      <t xml:space="preserve"> emisiju samazinājuma</t>
    </r>
  </si>
  <si>
    <t>cilvēkgadi</t>
  </si>
  <si>
    <t>Uz projektu attiecināmo zaudēto cilvēkgadu samazinājums, t.sk.</t>
  </si>
  <si>
    <t>cilvēkgadi / gadā</t>
  </si>
  <si>
    <r>
      <t>NO</t>
    </r>
    <r>
      <rPr>
        <vertAlign val="subscript"/>
        <sz val="10"/>
        <color theme="1"/>
        <rFont val="Calibri"/>
        <family val="2"/>
        <scheme val="minor"/>
      </rPr>
      <t>2</t>
    </r>
    <r>
      <rPr>
        <sz val="10"/>
        <color theme="1"/>
        <rFont val="Calibri"/>
        <family val="2"/>
        <scheme val="minor"/>
      </rPr>
      <t xml:space="preserve"> emisiju dēļ zaudētie dzīves gadi Latvijā</t>
    </r>
  </si>
  <si>
    <r>
      <t>PM</t>
    </r>
    <r>
      <rPr>
        <vertAlign val="subscript"/>
        <sz val="10"/>
        <color theme="1"/>
        <rFont val="Calibri"/>
        <family val="2"/>
        <scheme val="minor"/>
      </rPr>
      <t>2.5</t>
    </r>
    <r>
      <rPr>
        <sz val="10"/>
        <color theme="1"/>
        <rFont val="Calibri"/>
        <family val="2"/>
        <scheme val="minor"/>
      </rPr>
      <t xml:space="preserve"> emisiju dēļ zaudētie dzīves gadi Latvijā</t>
    </r>
  </si>
  <si>
    <t>Novērsto zaudēto dzīves gadu sociālekonomiskie ieguvumi</t>
  </si>
  <si>
    <t>EUR /gadījums</t>
  </si>
  <si>
    <t>Vienas novērstās nāves sociālekonomiskie ieguvumi</t>
  </si>
  <si>
    <t>Uz projektu attiecināmie nāves gadījumu samazinājums, t.sk.</t>
  </si>
  <si>
    <r>
      <t>NO</t>
    </r>
    <r>
      <rPr>
        <vertAlign val="subscript"/>
        <sz val="10"/>
        <color theme="1"/>
        <rFont val="Calibri"/>
        <family val="2"/>
        <scheme val="minor"/>
      </rPr>
      <t>2</t>
    </r>
    <r>
      <rPr>
        <sz val="10"/>
        <color theme="1"/>
        <rFont val="Calibri"/>
        <family val="2"/>
        <scheme val="minor"/>
      </rPr>
      <t xml:space="preserve"> emisiju samazinājums</t>
    </r>
  </si>
  <si>
    <r>
      <t>PM</t>
    </r>
    <r>
      <rPr>
        <vertAlign val="subscript"/>
        <sz val="10"/>
        <color theme="1"/>
        <rFont val="Calibri"/>
        <family val="2"/>
        <scheme val="minor"/>
      </rPr>
      <t>2,5</t>
    </r>
    <r>
      <rPr>
        <sz val="10"/>
        <color theme="1"/>
        <rFont val="Calibri"/>
        <family val="2"/>
        <scheme val="minor"/>
      </rPr>
      <t xml:space="preserve"> emisiju samazinājums</t>
    </r>
  </si>
  <si>
    <t>t / gadā</t>
  </si>
  <si>
    <r>
      <t>Kopējās NO</t>
    </r>
    <r>
      <rPr>
        <vertAlign val="subscript"/>
        <sz val="10"/>
        <color theme="1"/>
        <rFont val="Calibri"/>
        <family val="2"/>
        <scheme val="minor"/>
      </rPr>
      <t>2</t>
    </r>
    <r>
      <rPr>
        <sz val="10"/>
        <color theme="1"/>
        <rFont val="Calibri"/>
        <family val="2"/>
        <scheme val="minor"/>
      </rPr>
      <t xml:space="preserve"> emisijas Latvijā</t>
    </r>
  </si>
  <si>
    <r>
      <t>Kopējās PM</t>
    </r>
    <r>
      <rPr>
        <vertAlign val="subscript"/>
        <sz val="10"/>
        <color theme="1"/>
        <rFont val="Calibri"/>
        <family val="2"/>
        <scheme val="minor"/>
      </rPr>
      <t>2,5</t>
    </r>
    <r>
      <rPr>
        <sz val="10"/>
        <color theme="1"/>
        <rFont val="Calibri"/>
        <family val="2"/>
        <scheme val="minor"/>
      </rPr>
      <t xml:space="preserve"> emisijas Latvijā</t>
    </r>
  </si>
  <si>
    <t>cilvēki / gadā</t>
  </si>
  <si>
    <r>
      <t>NO</t>
    </r>
    <r>
      <rPr>
        <vertAlign val="subscript"/>
        <sz val="10"/>
        <color theme="1"/>
        <rFont val="Calibri"/>
        <family val="2"/>
        <scheme val="minor"/>
      </rPr>
      <t>2</t>
    </r>
    <r>
      <rPr>
        <sz val="10"/>
        <color theme="1"/>
        <rFont val="Calibri"/>
        <family val="2"/>
        <scheme val="minor"/>
      </rPr>
      <t xml:space="preserve"> emisiju dēļ mirušie cilvēki Latvijā</t>
    </r>
  </si>
  <si>
    <r>
      <t>PM</t>
    </r>
    <r>
      <rPr>
        <vertAlign val="subscript"/>
        <sz val="10"/>
        <color theme="1"/>
        <rFont val="Calibri"/>
        <family val="2"/>
        <scheme val="minor"/>
      </rPr>
      <t>2.5</t>
    </r>
    <r>
      <rPr>
        <sz val="10"/>
        <color theme="1"/>
        <rFont val="Calibri"/>
        <family val="2"/>
        <scheme val="minor"/>
      </rPr>
      <t xml:space="preserve"> emisiju dēļ mirušie cilvēki Latvijā</t>
    </r>
  </si>
  <si>
    <t>Novērsto nāves gadījumu dēļ sliktās gaisa kvalitātes sociālekonomiskie ieguvumi</t>
  </si>
  <si>
    <t>EUR kopā</t>
  </si>
  <si>
    <t>EUR/kg</t>
  </si>
  <si>
    <t>kg/gadā</t>
  </si>
  <si>
    <t>Scenārija AR Projektu</t>
  </si>
  <si>
    <t>Scenārijam BEZ Projekta</t>
  </si>
  <si>
    <r>
      <t>SO</t>
    </r>
    <r>
      <rPr>
        <b/>
        <vertAlign val="subscript"/>
        <sz val="10"/>
        <color rgb="FF000000"/>
        <rFont val="Calibri"/>
        <family val="2"/>
        <scheme val="minor"/>
      </rPr>
      <t>2</t>
    </r>
    <r>
      <rPr>
        <b/>
        <sz val="10"/>
        <color rgb="FF000000"/>
        <rFont val="Calibri"/>
        <family val="2"/>
        <scheme val="minor"/>
      </rPr>
      <t xml:space="preserve"> emisijas</t>
    </r>
  </si>
  <si>
    <t>Esošā situācija līdz pēc 2030. gada</t>
  </si>
  <si>
    <t>Esošā situācija līdz 2030. gadam</t>
  </si>
  <si>
    <r>
      <t>SO</t>
    </r>
    <r>
      <rPr>
        <b/>
        <vertAlign val="subscript"/>
        <sz val="10"/>
        <color theme="1"/>
        <rFont val="Calibri"/>
        <family val="2"/>
        <scheme val="minor"/>
      </rPr>
      <t>2</t>
    </r>
    <r>
      <rPr>
        <b/>
        <sz val="10"/>
        <color theme="1"/>
        <rFont val="Calibri"/>
        <family val="2"/>
        <scheme val="minor"/>
      </rPr>
      <t xml:space="preserve"> emisiju samazinājuma aprēķins un tā sociālekonomiskā vērtība</t>
    </r>
  </si>
  <si>
    <r>
      <t>1 kg NO</t>
    </r>
    <r>
      <rPr>
        <vertAlign val="subscript"/>
        <sz val="10"/>
        <color theme="1"/>
        <rFont val="Calibri"/>
        <family val="2"/>
        <scheme val="minor"/>
      </rPr>
      <t xml:space="preserve">2 </t>
    </r>
    <r>
      <rPr>
        <sz val="10"/>
        <color theme="1"/>
        <rFont val="Calibri"/>
        <family val="2"/>
        <scheme val="minor"/>
      </rPr>
      <t>emisiju sociālekonomiskās izmaksas</t>
    </r>
  </si>
  <si>
    <r>
      <t>NO</t>
    </r>
    <r>
      <rPr>
        <b/>
        <vertAlign val="subscript"/>
        <sz val="10"/>
        <color rgb="FF000000"/>
        <rFont val="Calibri"/>
        <family val="2"/>
        <scheme val="minor"/>
      </rPr>
      <t>2</t>
    </r>
    <r>
      <rPr>
        <b/>
        <sz val="10"/>
        <color rgb="FF000000"/>
        <rFont val="Calibri"/>
        <family val="2"/>
        <scheme val="minor"/>
      </rPr>
      <t xml:space="preserve"> emisijas</t>
    </r>
  </si>
  <si>
    <r>
      <t>NO</t>
    </r>
    <r>
      <rPr>
        <b/>
        <vertAlign val="subscript"/>
        <sz val="10"/>
        <color theme="1"/>
        <rFont val="Calibri"/>
        <family val="2"/>
        <scheme val="minor"/>
      </rPr>
      <t>2</t>
    </r>
    <r>
      <rPr>
        <b/>
        <sz val="10"/>
        <color theme="1"/>
        <rFont val="Calibri"/>
        <family val="2"/>
        <scheme val="minor"/>
      </rPr>
      <t xml:space="preserve"> emisiju samazinājuma aprēķins un tā sociālekonomiskā vērtība</t>
    </r>
  </si>
  <si>
    <r>
      <t>1 kg PM</t>
    </r>
    <r>
      <rPr>
        <vertAlign val="subscript"/>
        <sz val="10"/>
        <color theme="1"/>
        <rFont val="Calibri"/>
        <family val="2"/>
        <scheme val="minor"/>
      </rPr>
      <t>2,5</t>
    </r>
    <r>
      <rPr>
        <sz val="10"/>
        <color theme="1"/>
        <rFont val="Calibri"/>
        <family val="2"/>
        <scheme val="minor"/>
      </rPr>
      <t xml:space="preserve"> daļiņu sociālekonomiskās izmaksas</t>
    </r>
  </si>
  <si>
    <r>
      <t>PM</t>
    </r>
    <r>
      <rPr>
        <b/>
        <vertAlign val="subscript"/>
        <sz val="10"/>
        <color rgb="FF000000"/>
        <rFont val="Calibri"/>
        <family val="2"/>
        <scheme val="minor"/>
      </rPr>
      <t xml:space="preserve">2,5 </t>
    </r>
    <r>
      <rPr>
        <b/>
        <sz val="10"/>
        <color rgb="FF000000"/>
        <rFont val="Calibri"/>
        <family val="2"/>
        <scheme val="minor"/>
      </rPr>
      <t>daļiņu emisijas</t>
    </r>
  </si>
  <si>
    <r>
      <t>kg/m</t>
    </r>
    <r>
      <rPr>
        <b/>
        <i/>
        <vertAlign val="superscript"/>
        <sz val="10"/>
        <color theme="1"/>
        <rFont val="Calibri"/>
        <family val="2"/>
        <scheme val="minor"/>
      </rPr>
      <t>3</t>
    </r>
  </si>
  <si>
    <t>Svars</t>
  </si>
  <si>
    <r>
      <t>PM</t>
    </r>
    <r>
      <rPr>
        <b/>
        <vertAlign val="subscript"/>
        <sz val="10"/>
        <color theme="1"/>
        <rFont val="Calibri"/>
        <family val="2"/>
        <scheme val="minor"/>
      </rPr>
      <t>2,5</t>
    </r>
    <r>
      <rPr>
        <b/>
        <sz val="10"/>
        <color theme="1"/>
        <rFont val="Calibri"/>
        <family val="2"/>
        <scheme val="minor"/>
      </rPr>
      <t xml:space="preserve"> daļiņu emisiju samazinājuma aprēķins un tā sociālekonomiskā vērtība</t>
    </r>
  </si>
  <si>
    <t>* - pēc augstākās siltumspējas.  Šķeldas augstākā siltumspēja ir atkarīga no koksnes sugas un mitruma satura. Parasti šķeldā mitruma saturs ir ne mazāks par 40%. Aprēķinos pieņemts, ka šķeldas augstākā siltumspēja ir 11,1 MJ/kg.</t>
  </si>
  <si>
    <t>Konversijas koeficients MWh/MJ</t>
  </si>
  <si>
    <r>
      <t>kg/m</t>
    </r>
    <r>
      <rPr>
        <vertAlign val="superscript"/>
        <sz val="10"/>
        <color theme="1"/>
        <rFont val="Calibri"/>
        <family val="2"/>
        <scheme val="minor"/>
      </rPr>
      <t>3</t>
    </r>
  </si>
  <si>
    <t>Augstākā siltumspēja</t>
  </si>
  <si>
    <t>MWh</t>
  </si>
  <si>
    <t>Izmantotās šķeldas enerģētiskā vērtība situācijā AR Projektu</t>
  </si>
  <si>
    <t>Izmantotās šķeldas enerģētiskā vērtība situācijā BEZ Projekta</t>
  </si>
  <si>
    <r>
      <t>m</t>
    </r>
    <r>
      <rPr>
        <vertAlign val="superscript"/>
        <sz val="10"/>
        <color theme="1"/>
        <rFont val="Calibri"/>
        <family val="2"/>
        <scheme val="minor"/>
      </rPr>
      <t>3</t>
    </r>
    <r>
      <rPr>
        <sz val="10"/>
        <color theme="1"/>
        <rFont val="Calibri"/>
        <family val="2"/>
        <scheme val="minor"/>
      </rPr>
      <t>/gadā</t>
    </r>
  </si>
  <si>
    <t>Izmantotās šķeldas apjoms situācijā AR Projektu</t>
  </si>
  <si>
    <t>Izmantotās šķeldas apjoms situācijā BEZ Projekta</t>
  </si>
  <si>
    <t>Mērv.</t>
  </si>
  <si>
    <t>Energoresursu patēriņš  (vidēji gadā). Šķelda, beramkubikmetri</t>
  </si>
  <si>
    <t>Projekta sociālekonomiskā naudas plūsma</t>
  </si>
  <si>
    <t>Pagarinātās dzīvildzes sociālekonomiskie ieguvumi</t>
  </si>
  <si>
    <t>Novērsto nāves gadījumi sociālekonomiskie ieguvumi</t>
  </si>
  <si>
    <t>Projekta fiskāli koriģētā atlikusī vērtība</t>
  </si>
  <si>
    <t>Operacionālo izmaksu izmaiņas (- pieaugums, + samazinājums)</t>
  </si>
  <si>
    <t>Diskontētā vērtība</t>
  </si>
  <si>
    <t>Projekta sociālekonomiskās atdeves aprēķins (kopsavilkums)</t>
  </si>
  <si>
    <t>Fiskāli nekoriģētās papildus investīcījas</t>
  </si>
  <si>
    <t>FEA dzīves ciklā paredzamās investīcijas un to fiskālās korekcijas</t>
  </si>
  <si>
    <t>Projekta sociālekonomiskā analīze</t>
  </si>
  <si>
    <t>Sabiedrības IRR/C</t>
  </si>
  <si>
    <t>Atlikusī vērtība</t>
  </si>
  <si>
    <t>Projekta finanšu analīze no sabiedrības viedokļa</t>
  </si>
  <si>
    <t>Siltumenerģijas tarifs 2025. gada cenās</t>
  </si>
  <si>
    <t>EUR gadā</t>
  </si>
  <si>
    <t>Siltumenerģijas ražošanas izmaksas kopā bez nolietojuma</t>
  </si>
  <si>
    <t>Siltumenerģijas ražošanas izmaksas kopā</t>
  </si>
  <si>
    <t>Ieņēmumi no elektroenerģijas</t>
  </si>
  <si>
    <t>Nekustamā īpašuma nodoklis</t>
  </si>
  <si>
    <t>Procentu maksājumi</t>
  </si>
  <si>
    <t>Apdrošināšana</t>
  </si>
  <si>
    <t xml:space="preserve">Pamatlīdzekļu nolietojums </t>
  </si>
  <si>
    <t>Iekārtu remontu un uzturēšanas izmaksas</t>
  </si>
  <si>
    <t>Darba samaksa ar sociālo nodokli</t>
  </si>
  <si>
    <t>Pārējās mainīgās izmaksas</t>
  </si>
  <si>
    <t>Ūdens un ķimikāliju izmaksas</t>
  </si>
  <si>
    <t xml:space="preserve">Dabas resursu nodoklis </t>
  </si>
  <si>
    <t>Kurināmā izmaksas kopā</t>
  </si>
  <si>
    <t>Ekspluatācijas izmaksas (2025. gada cenās)</t>
  </si>
  <si>
    <t>Aprēķinātais papildus nolietojums</t>
  </si>
  <si>
    <t>tūkst .EUR gadā</t>
  </si>
  <si>
    <t>Katli (20 gadi nolietojums)</t>
  </si>
  <si>
    <t>Tīklu un ēkas (40 gadi nolietojums)</t>
  </si>
  <si>
    <t>tūkst .EUR</t>
  </si>
  <si>
    <t>Uzkrātās investīcijas (katli)</t>
  </si>
  <si>
    <t>Uzkrātās investīcijas (tīli un ēkas)</t>
  </si>
  <si>
    <t>tūkst. EUR gadā</t>
  </si>
  <si>
    <t>Investīcijas 2025. gada indeksētajās cenās (katli)</t>
  </si>
  <si>
    <t>Investīcijas 2025. gada indeksētajās cenās (tīkli un ēkas)</t>
  </si>
  <si>
    <t>Investīcijas 2025. gada neindeksētajās cenās (katli)</t>
  </si>
  <si>
    <t>Investīcijas 2025. gada neindeksētajās cenās (tīkli un ēkas)</t>
  </si>
  <si>
    <t>Iedzīvotājiem un privātajam sektora nodotā siltumenerģija</t>
  </si>
  <si>
    <t>Pašvaldības iestādēm nodotā siltumenerģija MWh</t>
  </si>
  <si>
    <t>Siltumtīklos nodotā siltumenerģija</t>
  </si>
  <si>
    <t>Pārvades un sadales zudumi</t>
  </si>
  <si>
    <t>Lietotājiem nodotais siltumenerģijas daudzums, t.sk.</t>
  </si>
  <si>
    <t>Siltumenerģijas apjomi</t>
  </si>
  <si>
    <t>Saražotās elektroenerģijas samazinājums pēc 2029. gada</t>
  </si>
  <si>
    <t xml:space="preserve">Kurināmā patēriņa samazinājums dēļ koģenerācijas slēgšanas </t>
  </si>
  <si>
    <t>Cilvēkslodžu, remontizmaksu un pārējo izmaksu samazinājums dēļ koģenerācijas atslēgšanas 2029. gadā</t>
  </si>
  <si>
    <t>%, gadā</t>
  </si>
  <si>
    <t xml:space="preserve">Remontizmaksu samazinājums </t>
  </si>
  <si>
    <t>%  no saražotā</t>
  </si>
  <si>
    <t>Siltumenerģijas zudumu samazinājums līdz 2040. gadam</t>
  </si>
  <si>
    <t>Aprēķinātais papildus nolietojums (20 gadu nolietojums)</t>
  </si>
  <si>
    <t>Lietotājiem nodotais siltumenerģijas daudzums</t>
  </si>
  <si>
    <t>Remontizmaksu pieaugums</t>
  </si>
  <si>
    <t>%/no saražotā</t>
  </si>
  <si>
    <t>Siltumenerģijas zudumu pieaugums līdz 2040. gadam</t>
  </si>
  <si>
    <t>Esošie siltumenergijas zudumi</t>
  </si>
  <si>
    <t>%/gadā</t>
  </si>
  <si>
    <t>Lietotājiem nodotās siltumenerģijas apjoms samazinājum</t>
  </si>
  <si>
    <t>tūkst.EUR</t>
  </si>
  <si>
    <t>5.</t>
  </si>
  <si>
    <t>4.</t>
  </si>
  <si>
    <t>3.7.</t>
  </si>
  <si>
    <t>3.6.</t>
  </si>
  <si>
    <t>3.5.</t>
  </si>
  <si>
    <t>3.4.</t>
  </si>
  <si>
    <t>3.2.</t>
  </si>
  <si>
    <t>2.8.</t>
  </si>
  <si>
    <t>2.4.</t>
  </si>
  <si>
    <r>
      <t>m</t>
    </r>
    <r>
      <rPr>
        <vertAlign val="superscript"/>
        <sz val="10"/>
        <rFont val="Calibri"/>
        <family val="2"/>
      </rPr>
      <t>3</t>
    </r>
  </si>
  <si>
    <t>Kurināmā patēriņš - Elektroenerģijai</t>
  </si>
  <si>
    <t>Kurināmā patēriņš - šķelda Miera 17</t>
  </si>
  <si>
    <t>Kurināmā patēriņš - šķelda Nākotnes 7</t>
  </si>
  <si>
    <r>
      <t>m</t>
    </r>
    <r>
      <rPr>
        <b/>
        <vertAlign val="superscript"/>
        <sz val="10"/>
        <rFont val="Calibri"/>
        <family val="2"/>
      </rPr>
      <t>3</t>
    </r>
  </si>
  <si>
    <t>Kurināmā patēriņš naturālās vienībā</t>
  </si>
  <si>
    <t>Nākotnes 7</t>
  </si>
  <si>
    <t>Miera 17</t>
  </si>
  <si>
    <t>Nosaukums</t>
  </si>
  <si>
    <t>Projekta finanšu analīze</t>
  </si>
  <si>
    <t>Sociālekonomiskā diskonta likme</t>
  </si>
  <si>
    <t>Finanšu diskonta likme</t>
  </si>
  <si>
    <t>Darba spēka īpatsvars investīciju izmaksās</t>
  </si>
  <si>
    <t>darba algas (bruto) izmaiņas, salīdzināmās cenās (%), kumulatīvi</t>
  </si>
  <si>
    <t>Mainīgie ievadāmie lielumi</t>
  </si>
  <si>
    <t>Finanšu analīze abiem scenārijiem. 
Sociālekonomiskā analīze tikai attīstības scenārijam.</t>
  </si>
  <si>
    <t xml:space="preserve">Veidlapas aktuālās redakcijas numurs: Nr. 4
Izvēlētās redakcijas numurs: Nr. 4
2. Parakstīts (vadītāja paraksts) 14.01.2025 08:57:40 Andis Caunītis
1. Parakstīts - AFD 13.01.2025 16:40:59 Ziedīte Gržibovska
</t>
  </si>
  <si>
    <t>Ienākums no pašvaldības</t>
  </si>
  <si>
    <t>Finanšu un ekonomiskais pamatojums siltumapgādes attīstībai Gulbenes pilsētā</t>
  </si>
  <si>
    <t>Attīstības scenārijs (ievieš pašvaldība)</t>
  </si>
  <si>
    <t>Attīstības scenārijs (koncesijas līgums)</t>
  </si>
  <si>
    <t xml:space="preserve">- scenārijs ja saņem 50-85% ES līdzfinansējumu </t>
  </si>
  <si>
    <t>-scenārijs, ja vienojas pirkt siltumu no GG</t>
  </si>
  <si>
    <t>Plus????</t>
  </si>
  <si>
    <t>Attīstības scenārijs (bez riskiem)</t>
  </si>
  <si>
    <t>Attīstības scenārijs (bez jaunas katlu mājas, koncesijas līgums)</t>
  </si>
  <si>
    <t>BEZ GRENA</t>
  </si>
  <si>
    <t>AR GRENU</t>
  </si>
  <si>
    <t>BEZ GRENA AR ES FINANSĒJUMU</t>
  </si>
  <si>
    <t>EUR/gadā</t>
  </si>
  <si>
    <t>EUR/diskontēti</t>
  </si>
  <si>
    <t>Inerces scenārijs</t>
  </si>
  <si>
    <t>Sabiedrības FNPV/C</t>
  </si>
  <si>
    <t>Attīstības scenārijs (bez jaunas katlu mājas, ievieš pašvaldība)</t>
  </si>
  <si>
    <t>Attīstības scenārijs (bez jaunas katlu mājas, bez riskiem)</t>
  </si>
  <si>
    <r>
      <t>NO</t>
    </r>
    <r>
      <rPr>
        <vertAlign val="subscript"/>
        <sz val="10"/>
        <color theme="1"/>
        <rFont val="Calibri"/>
        <family val="2"/>
        <scheme val="minor"/>
      </rPr>
      <t>2</t>
    </r>
    <r>
      <rPr>
        <sz val="10"/>
        <color theme="1"/>
        <rFont val="Calibri"/>
        <family val="2"/>
        <scheme val="minor"/>
      </rPr>
      <t xml:space="preserve"> emisiju vērtība scenārijā BEZ Projekta</t>
    </r>
  </si>
  <si>
    <r>
      <t>NO</t>
    </r>
    <r>
      <rPr>
        <vertAlign val="subscript"/>
        <sz val="10"/>
        <color theme="1"/>
        <rFont val="Calibri"/>
        <family val="2"/>
        <scheme val="minor"/>
      </rPr>
      <t>2</t>
    </r>
    <r>
      <rPr>
        <sz val="10"/>
        <color theme="1"/>
        <rFont val="Calibri"/>
        <family val="2"/>
        <scheme val="minor"/>
      </rPr>
      <t xml:space="preserve"> emisiju vērtība scenārijā AR Projektu</t>
    </r>
  </si>
  <si>
    <r>
      <t>SO</t>
    </r>
    <r>
      <rPr>
        <vertAlign val="subscript"/>
        <sz val="10"/>
        <color theme="1"/>
        <rFont val="Calibri"/>
        <family val="2"/>
        <scheme val="minor"/>
      </rPr>
      <t>2</t>
    </r>
    <r>
      <rPr>
        <sz val="10"/>
        <color theme="1"/>
        <rFont val="Calibri"/>
        <family val="2"/>
        <scheme val="minor"/>
      </rPr>
      <t xml:space="preserve"> emisiju vērtība scenārijā BEZ Projekta</t>
    </r>
  </si>
  <si>
    <r>
      <t>SO</t>
    </r>
    <r>
      <rPr>
        <vertAlign val="subscript"/>
        <sz val="10"/>
        <color theme="1"/>
        <rFont val="Calibri"/>
        <family val="2"/>
        <scheme val="minor"/>
      </rPr>
      <t>2</t>
    </r>
    <r>
      <rPr>
        <sz val="10"/>
        <color theme="1"/>
        <rFont val="Calibri"/>
        <family val="2"/>
        <scheme val="minor"/>
      </rPr>
      <t xml:space="preserve"> emisiju vērtība scenārijā AR Projektu</t>
    </r>
  </si>
  <si>
    <r>
      <t>1 kg SO</t>
    </r>
    <r>
      <rPr>
        <vertAlign val="subscript"/>
        <sz val="10"/>
        <color theme="1"/>
        <rFont val="Calibri"/>
        <family val="2"/>
        <scheme val="minor"/>
      </rPr>
      <t>2</t>
    </r>
    <r>
      <rPr>
        <sz val="10"/>
        <color theme="1"/>
        <rFont val="Calibri"/>
        <family val="2"/>
        <scheme val="minor"/>
      </rPr>
      <t xml:space="preserve"> emisiju sociālekonomiskās izmaksas</t>
    </r>
  </si>
  <si>
    <r>
      <t>PM</t>
    </r>
    <r>
      <rPr>
        <vertAlign val="subscript"/>
        <sz val="10"/>
        <color theme="1"/>
        <rFont val="Calibri"/>
        <family val="2"/>
        <scheme val="minor"/>
      </rPr>
      <t>2,5</t>
    </r>
    <r>
      <rPr>
        <sz val="10"/>
        <color theme="1"/>
        <rFont val="Calibri"/>
        <family val="2"/>
        <scheme val="minor"/>
      </rPr>
      <t xml:space="preserve"> emisiju vērtība scenārijā BEZ Projekta</t>
    </r>
  </si>
  <si>
    <r>
      <t>PM</t>
    </r>
    <r>
      <rPr>
        <vertAlign val="subscript"/>
        <sz val="10"/>
        <color theme="1"/>
        <rFont val="Calibri"/>
        <family val="2"/>
        <scheme val="minor"/>
      </rPr>
      <t>2,5</t>
    </r>
    <r>
      <rPr>
        <sz val="10"/>
        <color theme="1"/>
        <rFont val="Calibri"/>
        <family val="2"/>
        <scheme val="minor"/>
      </rPr>
      <t xml:space="preserve"> emisiju vērtība scenārijā AR Projektu</t>
    </r>
  </si>
  <si>
    <t>Investīciju (attīstības) scenārijs ar pilno investīciju programmu</t>
  </si>
  <si>
    <t>Kopā saistības uz 2025.gada maiju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</si>
</sst>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
    <numFmt numFmtId="166" formatCode="#,##0.0"/>
    <numFmt numFmtId="167" formatCode="0.0"/>
    <numFmt numFmtId="168" formatCode="#,##0.000"/>
    <numFmt numFmtId="169" formatCode="0.000%"/>
    <numFmt numFmtId="170" formatCode="0E+00"/>
  </numFmts>
  <fonts count="122" x14ac:knownFonts="1">
    <font>
      <sz val="11"/>
      <color theme="1"/>
      <name val="Calibri"/>
      <family val="2"/>
      <charset val="186"/>
      <scheme val="minor"/>
    </font>
    <font>
      <sz val="11"/>
      <color theme="1"/>
      <name val="Times New Roman"/>
      <family val="1"/>
      <charset val="186"/>
    </font>
    <font>
      <sz val="9"/>
      <color theme="1"/>
      <name val="Times New Roman"/>
      <family val="1"/>
      <charset val="186"/>
    </font>
    <font>
      <b/>
      <sz val="12"/>
      <color theme="1"/>
      <name val="Times New Roman"/>
      <family val="1"/>
      <charset val="186"/>
    </font>
    <font>
      <b/>
      <sz val="16"/>
      <color rgb="FF0070C0"/>
      <name val="Times New Roman"/>
      <family val="1"/>
      <charset val="186"/>
    </font>
    <font>
      <b/>
      <sz val="9"/>
      <color theme="1"/>
      <name val="Times New Roman"/>
      <family val="1"/>
      <charset val="186"/>
    </font>
    <font>
      <b/>
      <sz val="9"/>
      <color rgb="FF0070C0"/>
      <name val="Times New Roman"/>
      <family val="1"/>
      <charset val="186"/>
    </font>
    <font>
      <sz val="9"/>
      <color rgb="FF0070C0"/>
      <name val="Times New Roman"/>
      <family val="1"/>
      <charset val="186"/>
    </font>
    <font>
      <sz val="11"/>
      <color theme="1"/>
      <name val="Calibri"/>
      <family val="2"/>
      <charset val="186"/>
      <scheme val="minor"/>
    </font>
    <font>
      <sz val="10"/>
      <name val="Arial"/>
      <family val="2"/>
    </font>
    <font>
      <sz val="8"/>
      <color rgb="FF9C6500"/>
      <name val="Arial"/>
      <family val="2"/>
    </font>
    <font>
      <sz val="9"/>
      <color indexed="81"/>
      <name val="Tahoma"/>
      <family val="2"/>
      <charset val="186"/>
    </font>
    <font>
      <b/>
      <sz val="11"/>
      <color theme="1"/>
      <name val="Times New Roman"/>
      <family val="1"/>
      <charset val="186"/>
    </font>
    <font>
      <b/>
      <i/>
      <sz val="11"/>
      <color theme="1"/>
      <name val="Times New Roman"/>
      <family val="1"/>
      <charset val="186"/>
    </font>
    <font>
      <sz val="9"/>
      <name val="Times New Roman"/>
      <family val="1"/>
      <charset val="186"/>
    </font>
    <font>
      <i/>
      <sz val="9"/>
      <name val="Times New Roman"/>
      <family val="1"/>
      <charset val="186"/>
    </font>
    <font>
      <u/>
      <sz val="9"/>
      <name val="Times New Roman"/>
      <family val="1"/>
      <charset val="186"/>
    </font>
    <font>
      <i/>
      <sz val="9"/>
      <color theme="1"/>
      <name val="Times New Roman"/>
      <family val="1"/>
      <charset val="186"/>
    </font>
    <font>
      <i/>
      <vertAlign val="superscript"/>
      <sz val="9"/>
      <color theme="1"/>
      <name val="Times New Roman"/>
      <family val="1"/>
      <charset val="186"/>
    </font>
    <font>
      <b/>
      <i/>
      <vertAlign val="superscript"/>
      <sz val="11"/>
      <color theme="1"/>
      <name val="Times New Roman"/>
      <family val="1"/>
      <charset val="186"/>
    </font>
    <font>
      <sz val="9"/>
      <color theme="0"/>
      <name val="Times New Roman"/>
      <family val="1"/>
      <charset val="186"/>
    </font>
    <font>
      <sz val="11"/>
      <color theme="0"/>
      <name val="Times New Roman"/>
      <family val="1"/>
      <charset val="186"/>
    </font>
    <font>
      <sz val="11"/>
      <name val="Times New Roman"/>
      <family val="1"/>
      <charset val="186"/>
    </font>
    <font>
      <b/>
      <i/>
      <sz val="9"/>
      <color theme="1"/>
      <name val="Times New Roman"/>
      <family val="1"/>
      <charset val="186"/>
    </font>
    <font>
      <b/>
      <sz val="9"/>
      <color indexed="81"/>
      <name val="Tahoma"/>
      <family val="2"/>
      <charset val="186"/>
    </font>
    <font>
      <b/>
      <sz val="10"/>
      <color theme="1"/>
      <name val="Times New Roman"/>
      <family val="1"/>
      <charset val="186"/>
    </font>
    <font>
      <sz val="8"/>
      <color theme="1"/>
      <name val="Times New Roman"/>
      <family val="1"/>
      <charset val="186"/>
    </font>
    <font>
      <i/>
      <sz val="8"/>
      <color theme="1"/>
      <name val="Times New Roman"/>
      <family val="1"/>
      <charset val="186"/>
    </font>
    <font>
      <i/>
      <sz val="9"/>
      <color rgb="FF0070C0"/>
      <name val="Times New Roman"/>
      <family val="1"/>
      <charset val="186"/>
    </font>
    <font>
      <b/>
      <sz val="2"/>
      <color theme="1"/>
      <name val="Times New Roman"/>
      <family val="1"/>
      <charset val="186"/>
    </font>
    <font>
      <sz val="2"/>
      <color theme="1"/>
      <name val="Times New Roman"/>
      <family val="1"/>
      <charset val="186"/>
    </font>
    <font>
      <b/>
      <sz val="9"/>
      <name val="Times New Roman"/>
      <family val="1"/>
      <charset val="186"/>
    </font>
    <font>
      <b/>
      <i/>
      <sz val="8"/>
      <color theme="1"/>
      <name val="Times New Roman"/>
      <family val="1"/>
      <charset val="186"/>
    </font>
    <font>
      <i/>
      <sz val="2"/>
      <color rgb="FF0070C0"/>
      <name val="Times New Roman"/>
      <family val="1"/>
      <charset val="186"/>
    </font>
    <font>
      <b/>
      <i/>
      <sz val="9"/>
      <color rgb="FF0070C0"/>
      <name val="Times New Roman"/>
      <family val="1"/>
      <charset val="186"/>
    </font>
    <font>
      <b/>
      <u/>
      <sz val="9"/>
      <color rgb="FF0070C0"/>
      <name val="Times New Roman"/>
      <family val="1"/>
      <charset val="186"/>
    </font>
    <font>
      <b/>
      <sz val="9"/>
      <color theme="1"/>
      <name val="Times New Roman"/>
      <family val="1"/>
    </font>
    <font>
      <sz val="8"/>
      <color theme="1"/>
      <name val="Times New Roman"/>
      <family val="1"/>
    </font>
    <font>
      <b/>
      <sz val="9"/>
      <color indexed="81"/>
      <name val="Tahoma"/>
      <family val="2"/>
    </font>
    <font>
      <b/>
      <sz val="9"/>
      <color theme="0"/>
      <name val="Times New Roman"/>
      <family val="1"/>
      <charset val="186"/>
    </font>
    <font>
      <i/>
      <sz val="9"/>
      <name val="Times New Roman"/>
      <family val="1"/>
    </font>
    <font>
      <sz val="9"/>
      <color theme="1"/>
      <name val="Times New Roman"/>
      <family val="1"/>
    </font>
    <font>
      <sz val="9"/>
      <name val="Times New Roman"/>
      <family val="1"/>
    </font>
    <font>
      <b/>
      <sz val="10"/>
      <color theme="1"/>
      <name val="Calibri"/>
      <family val="2"/>
      <scheme val="minor"/>
    </font>
    <font>
      <sz val="10"/>
      <color theme="1"/>
      <name val="Calibri"/>
      <family val="2"/>
      <scheme val="minor"/>
    </font>
    <font>
      <sz val="10"/>
      <name val="Calibri"/>
      <family val="2"/>
      <charset val="186"/>
      <scheme val="minor"/>
    </font>
    <font>
      <vertAlign val="subscript"/>
      <sz val="10"/>
      <name val="Calibri"/>
      <family val="2"/>
      <scheme val="minor"/>
    </font>
    <font>
      <vertAlign val="superscript"/>
      <sz val="10"/>
      <color theme="1"/>
      <name val="Calibri"/>
      <family val="2"/>
      <scheme val="minor"/>
    </font>
    <font>
      <b/>
      <sz val="10"/>
      <color rgb="FF000000"/>
      <name val="Calibri"/>
      <family val="2"/>
      <scheme val="minor"/>
    </font>
    <font>
      <b/>
      <vertAlign val="subscript"/>
      <sz val="10"/>
      <color rgb="FF000000"/>
      <name val="Calibri"/>
      <family val="2"/>
      <scheme val="minor"/>
    </font>
    <font>
      <vertAlign val="subscript"/>
      <sz val="10"/>
      <color theme="1"/>
      <name val="Calibri"/>
      <family val="2"/>
      <scheme val="minor"/>
    </font>
    <font>
      <b/>
      <vertAlign val="subscript"/>
      <sz val="10"/>
      <color theme="1"/>
      <name val="Calibri"/>
      <family val="2"/>
      <scheme val="minor"/>
    </font>
    <font>
      <sz val="9"/>
      <color indexed="81"/>
      <name val="Tahoma"/>
      <family val="2"/>
    </font>
    <font>
      <b/>
      <sz val="10"/>
      <name val="Calibri"/>
      <family val="2"/>
      <scheme val="minor"/>
    </font>
    <font>
      <b/>
      <sz val="9"/>
      <color rgb="FFFF0000"/>
      <name val="Times New Roman"/>
      <family val="1"/>
      <charset val="186"/>
    </font>
    <font>
      <sz val="10"/>
      <color theme="0" tint="-4.9989318521683403E-2"/>
      <name val="Calibri"/>
      <family val="2"/>
      <scheme val="minor"/>
    </font>
    <font>
      <sz val="10"/>
      <color theme="0" tint="-0.249977111117893"/>
      <name val="Calibri"/>
      <family val="2"/>
      <scheme val="minor"/>
    </font>
    <font>
      <sz val="8"/>
      <name val="Calibri"/>
      <family val="2"/>
      <charset val="186"/>
      <scheme val="minor"/>
    </font>
    <font>
      <sz val="9"/>
      <color rgb="FFFF0000"/>
      <name val="Times New Roman"/>
      <family val="1"/>
      <charset val="186"/>
    </font>
    <font>
      <b/>
      <i/>
      <sz val="11"/>
      <color rgb="FFFF0000"/>
      <name val="Times New Roman"/>
      <family val="1"/>
      <charset val="186"/>
    </font>
    <font>
      <sz val="12"/>
      <color rgb="FF000000"/>
      <name val="Times New Roman"/>
      <family val="1"/>
      <charset val="186"/>
    </font>
    <font>
      <i/>
      <sz val="10"/>
      <color rgb="FF000000"/>
      <name val="Times New Roman"/>
      <family val="1"/>
      <charset val="186"/>
    </font>
    <font>
      <sz val="10"/>
      <color rgb="FF000000"/>
      <name val="Times New Roman"/>
      <family val="1"/>
      <charset val="186"/>
    </font>
    <font>
      <b/>
      <sz val="10"/>
      <color rgb="FF000000"/>
      <name val="Times New Roman"/>
      <family val="1"/>
      <charset val="186"/>
    </font>
    <font>
      <i/>
      <sz val="12"/>
      <color rgb="FF000000"/>
      <name val="Times New Roman"/>
      <family val="1"/>
      <charset val="186"/>
    </font>
    <font>
      <sz val="9"/>
      <color rgb="FF000000"/>
      <name val="Times New Roman"/>
      <family val="1"/>
      <charset val="186"/>
    </font>
    <font>
      <sz val="10"/>
      <color theme="1"/>
      <name val="Calibri"/>
      <family val="2"/>
      <charset val="186"/>
      <scheme val="minor"/>
    </font>
    <font>
      <b/>
      <sz val="10"/>
      <color rgb="FF000000"/>
      <name val="Calibri"/>
      <family val="2"/>
      <charset val="186"/>
      <scheme val="minor"/>
    </font>
    <font>
      <b/>
      <sz val="10"/>
      <color theme="1"/>
      <name val="Calibri"/>
      <family val="2"/>
      <charset val="186"/>
      <scheme val="minor"/>
    </font>
    <font>
      <sz val="10"/>
      <color rgb="FF000000"/>
      <name val="Calibri"/>
      <family val="2"/>
      <charset val="186"/>
      <scheme val="minor"/>
    </font>
    <font>
      <sz val="10"/>
      <color rgb="FFFF0000"/>
      <name val="Calibri"/>
      <family val="2"/>
      <charset val="186"/>
      <scheme val="minor"/>
    </font>
    <font>
      <b/>
      <sz val="11"/>
      <color theme="1"/>
      <name val="Calibri"/>
      <family val="2"/>
      <charset val="186"/>
      <scheme val="minor"/>
    </font>
    <font>
      <i/>
      <sz val="10"/>
      <color theme="1"/>
      <name val="Calibri"/>
      <family val="2"/>
      <scheme val="minor"/>
    </font>
    <font>
      <i/>
      <vertAlign val="subscript"/>
      <sz val="10"/>
      <color theme="1"/>
      <name val="Calibri"/>
      <family val="2"/>
      <scheme val="minor"/>
    </font>
    <font>
      <i/>
      <sz val="10"/>
      <color theme="0" tint="-0.34998626667073579"/>
      <name val="Calibri"/>
      <family val="2"/>
      <scheme val="minor"/>
    </font>
    <font>
      <b/>
      <i/>
      <sz val="10"/>
      <color theme="1"/>
      <name val="Calibri"/>
      <family val="2"/>
      <scheme val="minor"/>
    </font>
    <font>
      <b/>
      <i/>
      <vertAlign val="superscript"/>
      <sz val="10"/>
      <color theme="1"/>
      <name val="Calibri"/>
      <family val="2"/>
      <scheme val="minor"/>
    </font>
    <font>
      <sz val="10"/>
      <color rgb="FFFF0000"/>
      <name val="Calibri"/>
      <family val="2"/>
      <scheme val="minor"/>
    </font>
    <font>
      <b/>
      <sz val="10"/>
      <color rgb="FFFF0000"/>
      <name val="Calibri"/>
      <family val="2"/>
      <scheme val="minor"/>
    </font>
    <font>
      <i/>
      <sz val="10"/>
      <color theme="2"/>
      <name val="Calibri"/>
      <family val="2"/>
      <scheme val="minor"/>
    </font>
    <font>
      <b/>
      <i/>
      <sz val="10"/>
      <color theme="2"/>
      <name val="Calibri"/>
      <family val="2"/>
      <scheme val="minor"/>
    </font>
    <font>
      <b/>
      <sz val="10"/>
      <color theme="9" tint="-0.249977111117893"/>
      <name val="Calibri"/>
      <family val="2"/>
      <scheme val="minor"/>
    </font>
    <font>
      <sz val="10"/>
      <name val="Calibri"/>
      <family val="2"/>
      <scheme val="minor"/>
    </font>
    <font>
      <b/>
      <sz val="16"/>
      <color theme="1"/>
      <name val="Calibri"/>
      <family val="2"/>
      <scheme val="minor"/>
    </font>
    <font>
      <b/>
      <sz val="18"/>
      <color theme="1"/>
      <name val="Calibri"/>
      <family val="2"/>
      <scheme val="minor"/>
    </font>
    <font>
      <b/>
      <sz val="10"/>
      <color theme="1"/>
      <name val="Calibri"/>
      <family val="2"/>
      <charset val="186"/>
    </font>
    <font>
      <sz val="10"/>
      <color theme="1"/>
      <name val="Calibri"/>
      <family val="2"/>
    </font>
    <font>
      <i/>
      <sz val="10"/>
      <color theme="0" tint="-4.9989318521683403E-2"/>
      <name val="Calibri"/>
      <family val="2"/>
      <scheme val="minor"/>
    </font>
    <font>
      <i/>
      <sz val="10"/>
      <color theme="0" tint="-0.34998626667073579"/>
      <name val="Calibri"/>
      <family val="2"/>
      <charset val="186"/>
      <scheme val="minor"/>
    </font>
    <font>
      <i/>
      <sz val="10"/>
      <color theme="0" tint="-0.34998626667073579"/>
      <name val="Calibri"/>
      <family val="2"/>
      <charset val="186"/>
    </font>
    <font>
      <b/>
      <sz val="10"/>
      <color theme="1"/>
      <name val="Calibri"/>
      <family val="2"/>
    </font>
    <font>
      <sz val="10"/>
      <name val="Arial"/>
      <family val="2"/>
      <charset val="186"/>
    </font>
    <font>
      <sz val="10"/>
      <name val="Calibri"/>
      <family val="2"/>
    </font>
    <font>
      <vertAlign val="superscript"/>
      <sz val="10"/>
      <name val="Calibri"/>
      <family val="2"/>
    </font>
    <font>
      <b/>
      <sz val="10"/>
      <name val="Calibri"/>
      <family val="2"/>
    </font>
    <font>
      <b/>
      <vertAlign val="superscript"/>
      <sz val="10"/>
      <name val="Calibri"/>
      <family val="2"/>
    </font>
    <font>
      <b/>
      <sz val="12"/>
      <color theme="1"/>
      <name val="Calibri"/>
      <family val="2"/>
      <scheme val="minor"/>
    </font>
    <font>
      <sz val="9"/>
      <color theme="1"/>
      <name val="Calibri"/>
      <family val="2"/>
      <charset val="186"/>
      <scheme val="minor"/>
    </font>
    <font>
      <sz val="9"/>
      <color rgb="FF0070C0"/>
      <name val="Calibri"/>
      <family val="2"/>
      <charset val="186"/>
      <scheme val="minor"/>
    </font>
    <font>
      <b/>
      <sz val="9"/>
      <color rgb="FF0070C0"/>
      <name val="Calibri"/>
      <family val="2"/>
      <charset val="186"/>
      <scheme val="minor"/>
    </font>
    <font>
      <b/>
      <sz val="9"/>
      <color theme="1"/>
      <name val="Calibri"/>
      <family val="2"/>
      <charset val="186"/>
      <scheme val="minor"/>
    </font>
    <font>
      <b/>
      <i/>
      <sz val="9"/>
      <color theme="1"/>
      <name val="Calibri"/>
      <family val="2"/>
      <charset val="186"/>
      <scheme val="minor"/>
    </font>
    <font>
      <sz val="9"/>
      <color rgb="FFFF0000"/>
      <name val="Calibri"/>
      <family val="2"/>
      <charset val="186"/>
      <scheme val="minor"/>
    </font>
    <font>
      <b/>
      <i/>
      <sz val="11"/>
      <color theme="1"/>
      <name val="Calibri"/>
      <family val="2"/>
      <charset val="186"/>
      <scheme val="minor"/>
    </font>
    <font>
      <sz val="8"/>
      <color theme="1"/>
      <name val="Calibri"/>
      <family val="2"/>
      <charset val="186"/>
      <scheme val="minor"/>
    </font>
    <font>
      <i/>
      <sz val="9"/>
      <color rgb="FF0070C0"/>
      <name val="Calibri"/>
      <family val="2"/>
      <charset val="186"/>
      <scheme val="minor"/>
    </font>
    <font>
      <i/>
      <sz val="9"/>
      <color rgb="FFFF0000"/>
      <name val="Calibri"/>
      <family val="2"/>
      <charset val="186"/>
      <scheme val="minor"/>
    </font>
    <font>
      <sz val="8"/>
      <color rgb="FFFF0000"/>
      <name val="Calibri"/>
      <family val="2"/>
      <charset val="186"/>
      <scheme val="minor"/>
    </font>
    <font>
      <i/>
      <sz val="9"/>
      <color theme="1"/>
      <name val="Calibri"/>
      <family val="2"/>
      <charset val="186"/>
      <scheme val="minor"/>
    </font>
    <font>
      <sz val="9"/>
      <color theme="0"/>
      <name val="Calibri"/>
      <family val="2"/>
      <charset val="186"/>
      <scheme val="minor"/>
    </font>
    <font>
      <i/>
      <sz val="8"/>
      <color rgb="FFFF0000"/>
      <name val="Calibri"/>
      <family val="2"/>
      <charset val="186"/>
      <scheme val="minor"/>
    </font>
    <font>
      <i/>
      <sz val="8"/>
      <color theme="1"/>
      <name val="Calibri"/>
      <family val="2"/>
      <charset val="186"/>
      <scheme val="minor"/>
    </font>
    <font>
      <sz val="9"/>
      <name val="Calibri"/>
      <family val="2"/>
      <charset val="186"/>
      <scheme val="minor"/>
    </font>
    <font>
      <i/>
      <sz val="9"/>
      <color theme="4"/>
      <name val="Calibri"/>
      <family val="2"/>
      <charset val="186"/>
      <scheme val="minor"/>
    </font>
    <font>
      <sz val="2"/>
      <color theme="1"/>
      <name val="Calibri"/>
      <family val="2"/>
      <charset val="186"/>
      <scheme val="minor"/>
    </font>
    <font>
      <b/>
      <sz val="2"/>
      <color theme="1"/>
      <name val="Calibri"/>
      <family val="2"/>
      <charset val="186"/>
      <scheme val="minor"/>
    </font>
    <font>
      <b/>
      <sz val="9"/>
      <name val="Calibri"/>
      <family val="2"/>
      <charset val="186"/>
      <scheme val="minor"/>
    </font>
    <font>
      <b/>
      <sz val="9"/>
      <color rgb="FFFF0000"/>
      <name val="Calibri"/>
      <family val="2"/>
      <charset val="186"/>
      <scheme val="minor"/>
    </font>
    <font>
      <b/>
      <i/>
      <sz val="9"/>
      <color rgb="FFFF0000"/>
      <name val="Calibri"/>
      <family val="2"/>
      <charset val="186"/>
      <scheme val="minor"/>
    </font>
    <font>
      <b/>
      <sz val="8"/>
      <color rgb="FFFF0000"/>
      <name val="Calibri"/>
      <family val="2"/>
      <charset val="186"/>
      <scheme val="minor"/>
    </font>
    <font>
      <b/>
      <sz val="8"/>
      <color theme="1"/>
      <name val="Calibri"/>
      <family val="2"/>
      <charset val="186"/>
      <scheme val="minor"/>
    </font>
    <font>
      <sz val="11"/>
      <color rgb="FFFF0000"/>
      <name val="Calibri"/>
      <family val="2"/>
      <charset val="186"/>
      <scheme val="minor"/>
    </font>
  </fonts>
  <fills count="1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EB9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theme="7"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top/>
      <bottom style="hair">
        <color rgb="FF000000"/>
      </bottom>
      <diagonal/>
    </border>
    <border>
      <left/>
      <right/>
      <top style="hair">
        <color rgb="FF000000"/>
      </top>
      <bottom/>
      <diagonal/>
    </border>
    <border>
      <left style="hair">
        <color rgb="FF000000"/>
      </left>
      <right/>
      <top/>
      <bottom/>
      <diagonal/>
    </border>
    <border>
      <left/>
      <right style="hair">
        <color rgb="FF000000"/>
      </right>
      <top/>
      <bottom/>
      <diagonal/>
    </border>
    <border>
      <left/>
      <right style="hair">
        <color rgb="FF000000"/>
      </right>
      <top/>
      <bottom style="hair">
        <color rgb="FF000000"/>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xf numFmtId="9" fontId="8" fillId="0" borderId="0" applyFont="0" applyFill="0" applyBorder="0" applyAlignment="0" applyProtection="0"/>
    <xf numFmtId="0" fontId="9" fillId="0" borderId="0"/>
    <xf numFmtId="0" fontId="10" fillId="5" borderId="0" applyNumberFormat="0" applyBorder="0" applyAlignment="0" applyProtection="0"/>
    <xf numFmtId="0" fontId="91" fillId="0" borderId="0"/>
  </cellStyleXfs>
  <cellXfs count="564">
    <xf numFmtId="0" fontId="0" fillId="0" borderId="0" xfId="0"/>
    <xf numFmtId="0" fontId="2" fillId="2" borderId="0" xfId="0" applyFont="1" applyFill="1"/>
    <xf numFmtId="0" fontId="2" fillId="0" borderId="0" xfId="0" applyFont="1"/>
    <xf numFmtId="0" fontId="2" fillId="2" borderId="0" xfId="0" applyFont="1" applyFill="1" applyAlignment="1">
      <alignment horizontal="center"/>
    </xf>
    <xf numFmtId="0" fontId="4" fillId="2" borderId="0" xfId="0" applyFont="1" applyFill="1" applyAlignment="1">
      <alignment horizontal="center" vertical="center" wrapText="1"/>
    </xf>
    <xf numFmtId="0" fontId="5" fillId="2" borderId="0" xfId="0" applyFont="1" applyFill="1"/>
    <xf numFmtId="0" fontId="6" fillId="2" borderId="0" xfId="0" applyFont="1" applyFill="1" applyAlignment="1">
      <alignment horizontal="center"/>
    </xf>
    <xf numFmtId="0" fontId="2" fillId="2" borderId="0" xfId="0" applyFont="1" applyFill="1" applyAlignment="1">
      <alignment horizontal="right"/>
    </xf>
    <xf numFmtId="0" fontId="2" fillId="3" borderId="1" xfId="0" applyFont="1" applyFill="1" applyBorder="1"/>
    <xf numFmtId="0" fontId="2" fillId="4" borderId="1" xfId="0" applyFont="1" applyFill="1" applyBorder="1"/>
    <xf numFmtId="0" fontId="5" fillId="7" borderId="1" xfId="0" applyFont="1" applyFill="1" applyBorder="1" applyAlignment="1">
      <alignment horizontal="center" vertical="center" wrapText="1"/>
    </xf>
    <xf numFmtId="0" fontId="14" fillId="4" borderId="1" xfId="2" applyFont="1" applyFill="1" applyBorder="1" applyAlignment="1">
      <alignment horizontal="center" vertical="center"/>
    </xf>
    <xf numFmtId="10" fontId="6" fillId="3" borderId="1" xfId="3" applyNumberFormat="1" applyFont="1" applyFill="1" applyBorder="1" applyAlignment="1" applyProtection="1">
      <alignment horizontal="center" vertical="center"/>
      <protection locked="0"/>
    </xf>
    <xf numFmtId="10" fontId="6" fillId="3" borderId="1" xfId="3" applyNumberFormat="1" applyFont="1" applyFill="1" applyBorder="1" applyAlignment="1" applyProtection="1">
      <alignment horizontal="center" vertical="center" wrapText="1"/>
      <protection locked="0"/>
    </xf>
    <xf numFmtId="0" fontId="1" fillId="2" borderId="0" xfId="0" applyFont="1" applyFill="1" applyProtection="1">
      <protection locked="0"/>
    </xf>
    <xf numFmtId="0" fontId="1" fillId="0" borderId="0" xfId="0" applyFont="1" applyProtection="1">
      <protection locked="0"/>
    </xf>
    <xf numFmtId="0" fontId="5" fillId="7" borderId="1" xfId="0" applyFont="1" applyFill="1" applyBorder="1" applyAlignment="1" applyProtection="1">
      <alignment horizontal="left" vertical="center"/>
      <protection locked="0"/>
    </xf>
    <xf numFmtId="0" fontId="5" fillId="7"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14" fillId="0" borderId="1" xfId="2" applyFont="1" applyBorder="1" applyAlignment="1" applyProtection="1">
      <alignment horizontal="left" vertical="center" wrapText="1"/>
      <protection locked="0"/>
    </xf>
    <xf numFmtId="0" fontId="14" fillId="4" borderId="1" xfId="2" applyFont="1" applyFill="1" applyBorder="1" applyAlignment="1" applyProtection="1">
      <alignment horizontal="center" vertical="center"/>
      <protection locked="0"/>
    </xf>
    <xf numFmtId="0" fontId="14" fillId="0" borderId="1" xfId="0" applyFont="1" applyBorder="1" applyAlignment="1" applyProtection="1">
      <alignment horizontal="left" vertical="center"/>
      <protection locked="0"/>
    </xf>
    <xf numFmtId="0" fontId="14" fillId="0" borderId="1" xfId="2" applyFont="1" applyBorder="1" applyAlignment="1" applyProtection="1">
      <alignment horizontal="left" vertical="center" wrapText="1" shrinkToFit="1"/>
      <protection locked="0"/>
    </xf>
    <xf numFmtId="0" fontId="2" fillId="0" borderId="1" xfId="0" applyFont="1" applyBorder="1" applyProtection="1">
      <protection locked="0"/>
    </xf>
    <xf numFmtId="0" fontId="1" fillId="0" borderId="0" xfId="0" applyFont="1"/>
    <xf numFmtId="0" fontId="15" fillId="0" borderId="1" xfId="2" applyFont="1" applyBorder="1" applyAlignment="1" applyProtection="1">
      <alignment horizontal="left" vertical="center" wrapText="1" shrinkToFit="1"/>
      <protection locked="0"/>
    </xf>
    <xf numFmtId="0" fontId="20" fillId="0" borderId="0" xfId="0" applyFont="1"/>
    <xf numFmtId="0" fontId="22" fillId="0" borderId="0" xfId="0" applyFont="1" applyAlignment="1" applyProtection="1">
      <alignment wrapText="1"/>
      <protection locked="0"/>
    </xf>
    <xf numFmtId="0" fontId="20" fillId="0" borderId="0" xfId="0" applyFont="1" applyAlignment="1">
      <alignment wrapText="1"/>
    </xf>
    <xf numFmtId="0" fontId="21" fillId="0" borderId="0" xfId="0" applyFont="1" applyAlignment="1">
      <alignment wrapText="1"/>
    </xf>
    <xf numFmtId="0" fontId="7" fillId="3" borderId="1" xfId="0" applyFont="1" applyFill="1" applyBorder="1" applyAlignment="1">
      <alignment horizontal="left" vertical="top" wrapText="1"/>
    </xf>
    <xf numFmtId="0" fontId="23" fillId="8" borderId="2" xfId="0" applyFont="1" applyFill="1" applyBorder="1" applyAlignment="1">
      <alignment vertical="top" wrapText="1"/>
    </xf>
    <xf numFmtId="0" fontId="23" fillId="8" borderId="3" xfId="0" applyFont="1" applyFill="1" applyBorder="1" applyAlignment="1">
      <alignment vertical="top" wrapText="1"/>
    </xf>
    <xf numFmtId="0" fontId="23" fillId="8" borderId="4" xfId="0" applyFont="1" applyFill="1" applyBorder="1" applyAlignment="1">
      <alignment vertical="top" wrapText="1"/>
    </xf>
    <xf numFmtId="10" fontId="2" fillId="4" borderId="6" xfId="1" applyNumberFormat="1" applyFont="1" applyFill="1" applyBorder="1" applyAlignment="1">
      <alignment horizontal="right"/>
    </xf>
    <xf numFmtId="0" fontId="2" fillId="2" borderId="0" xfId="0" applyFont="1" applyFill="1" applyAlignment="1">
      <alignment wrapText="1"/>
    </xf>
    <xf numFmtId="0" fontId="2" fillId="2" borderId="0" xfId="0" applyFont="1" applyFill="1" applyAlignment="1">
      <alignment horizontal="center" vertical="center"/>
    </xf>
    <xf numFmtId="0" fontId="5" fillId="2" borderId="9" xfId="0" applyFont="1" applyFill="1" applyBorder="1" applyAlignment="1">
      <alignment horizontal="left"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2" fillId="2" borderId="0" xfId="0" applyFont="1" applyFill="1" applyAlignment="1">
      <alignment horizontal="right" vertical="top"/>
    </xf>
    <xf numFmtId="0" fontId="2" fillId="2" borderId="0" xfId="0" applyFont="1" applyFill="1" applyAlignment="1">
      <alignment horizontal="right" wrapText="1"/>
    </xf>
    <xf numFmtId="0" fontId="5" fillId="2" borderId="0" xfId="0" applyFont="1" applyFill="1" applyAlignment="1">
      <alignment wrapText="1"/>
    </xf>
    <xf numFmtId="0" fontId="26" fillId="2" borderId="0" xfId="0" applyFont="1" applyFill="1" applyAlignment="1">
      <alignment horizontal="center" vertical="top"/>
    </xf>
    <xf numFmtId="0" fontId="26" fillId="2" borderId="0" xfId="0" applyFont="1" applyFill="1" applyAlignment="1">
      <alignment horizontal="center" vertical="center"/>
    </xf>
    <xf numFmtId="3" fontId="2" fillId="2" borderId="0" xfId="0" applyNumberFormat="1" applyFont="1" applyFill="1" applyAlignment="1">
      <alignment horizontal="right" vertical="top"/>
    </xf>
    <xf numFmtId="0" fontId="13" fillId="6" borderId="0" xfId="0" applyFont="1" applyFill="1"/>
    <xf numFmtId="0" fontId="5" fillId="2" borderId="1" xfId="0" applyFont="1" applyFill="1" applyBorder="1" applyAlignment="1">
      <alignment horizontal="right" wrapText="1"/>
    </xf>
    <xf numFmtId="0" fontId="2" fillId="2" borderId="1" xfId="0" applyFont="1" applyFill="1" applyBorder="1" applyAlignment="1">
      <alignment wrapText="1"/>
    </xf>
    <xf numFmtId="0" fontId="2" fillId="2" borderId="1" xfId="0" applyFont="1" applyFill="1" applyBorder="1" applyAlignment="1">
      <alignment horizontal="right" wrapText="1"/>
    </xf>
    <xf numFmtId="3" fontId="2" fillId="4" borderId="1" xfId="0" applyNumberFormat="1" applyFont="1" applyFill="1" applyBorder="1" applyAlignment="1">
      <alignment horizontal="right" vertical="top"/>
    </xf>
    <xf numFmtId="0" fontId="17" fillId="2" borderId="1" xfId="0" applyFont="1" applyFill="1" applyBorder="1" applyAlignment="1">
      <alignment horizontal="right" wrapText="1"/>
    </xf>
    <xf numFmtId="0" fontId="17" fillId="2" borderId="0" xfId="0" applyFont="1" applyFill="1" applyAlignment="1">
      <alignment horizontal="right" vertical="top"/>
    </xf>
    <xf numFmtId="0" fontId="27" fillId="2" borderId="0" xfId="0" applyFont="1" applyFill="1" applyAlignment="1">
      <alignment horizontal="center" vertical="top"/>
    </xf>
    <xf numFmtId="0" fontId="5" fillId="2" borderId="1" xfId="0" applyFont="1" applyFill="1" applyBorder="1"/>
    <xf numFmtId="3" fontId="5" fillId="4" borderId="1" xfId="0" applyNumberFormat="1" applyFont="1" applyFill="1" applyBorder="1" applyAlignment="1">
      <alignment horizontal="right" vertical="top"/>
    </xf>
    <xf numFmtId="0" fontId="6" fillId="3" borderId="1" xfId="0" applyFont="1" applyFill="1" applyBorder="1" applyAlignment="1">
      <alignment horizontal="right" vertical="top"/>
    </xf>
    <xf numFmtId="0" fontId="5" fillId="6" borderId="1" xfId="0" applyFont="1" applyFill="1" applyBorder="1" applyAlignment="1">
      <alignment wrapText="1"/>
    </xf>
    <xf numFmtId="0" fontId="2" fillId="4" borderId="1" xfId="0" applyFont="1" applyFill="1" applyBorder="1" applyAlignment="1">
      <alignment horizontal="right"/>
    </xf>
    <xf numFmtId="164" fontId="7" fillId="3" borderId="1" xfId="1" applyNumberFormat="1" applyFont="1" applyFill="1" applyBorder="1" applyAlignment="1">
      <alignment horizontal="right" vertical="top"/>
    </xf>
    <xf numFmtId="0" fontId="7" fillId="3" borderId="1" xfId="0" applyFont="1" applyFill="1" applyBorder="1" applyAlignment="1">
      <alignment horizontal="right" vertical="top"/>
    </xf>
    <xf numFmtId="164" fontId="7" fillId="3" borderId="1" xfId="1" applyNumberFormat="1" applyFont="1" applyFill="1" applyBorder="1" applyAlignment="1">
      <alignment horizontal="center" vertical="top"/>
    </xf>
    <xf numFmtId="164" fontId="14" fillId="4" borderId="1" xfId="1" applyNumberFormat="1" applyFont="1" applyFill="1" applyBorder="1" applyAlignment="1">
      <alignment horizontal="right" vertical="top"/>
    </xf>
    <xf numFmtId="3" fontId="5" fillId="2" borderId="0" xfId="0" applyNumberFormat="1" applyFont="1" applyFill="1" applyAlignment="1">
      <alignment horizontal="right" vertical="top"/>
    </xf>
    <xf numFmtId="0" fontId="6" fillId="6" borderId="1" xfId="0" applyFont="1" applyFill="1" applyBorder="1" applyAlignment="1">
      <alignment wrapText="1"/>
    </xf>
    <xf numFmtId="3" fontId="28" fillId="3" borderId="1" xfId="0" applyNumberFormat="1" applyFont="1" applyFill="1" applyBorder="1" applyAlignment="1">
      <alignment horizontal="right" vertical="top"/>
    </xf>
    <xf numFmtId="0" fontId="29" fillId="2" borderId="0" xfId="0" applyFont="1" applyFill="1" applyAlignment="1">
      <alignment horizontal="right" wrapText="1"/>
    </xf>
    <xf numFmtId="0" fontId="30" fillId="2" borderId="0" xfId="0" applyFont="1" applyFill="1" applyAlignment="1">
      <alignment horizontal="right" vertical="top"/>
    </xf>
    <xf numFmtId="3" fontId="29" fillId="0" borderId="0" xfId="0" applyNumberFormat="1" applyFont="1" applyAlignment="1">
      <alignment horizontal="right" vertical="top"/>
    </xf>
    <xf numFmtId="0" fontId="30" fillId="2" borderId="0" xfId="0" applyFont="1" applyFill="1"/>
    <xf numFmtId="3" fontId="29" fillId="2" borderId="0" xfId="0" applyNumberFormat="1" applyFont="1" applyFill="1" applyAlignment="1">
      <alignment horizontal="right" vertical="top"/>
    </xf>
    <xf numFmtId="0" fontId="5" fillId="9" borderId="0" xfId="0" applyFont="1" applyFill="1" applyAlignment="1">
      <alignment horizontal="right" wrapText="1"/>
    </xf>
    <xf numFmtId="0" fontId="2" fillId="9" borderId="0" xfId="0" applyFont="1" applyFill="1" applyAlignment="1">
      <alignment horizontal="right" vertical="top"/>
    </xf>
    <xf numFmtId="3" fontId="5" fillId="9" borderId="0" xfId="0" applyNumberFormat="1" applyFont="1" applyFill="1" applyAlignment="1">
      <alignment horizontal="right" vertical="top"/>
    </xf>
    <xf numFmtId="165" fontId="17" fillId="4" borderId="1" xfId="0" applyNumberFormat="1" applyFont="1" applyFill="1" applyBorder="1" applyAlignment="1">
      <alignment horizontal="right" vertical="top"/>
    </xf>
    <xf numFmtId="3" fontId="17" fillId="4" borderId="1" xfId="0" applyNumberFormat="1" applyFont="1" applyFill="1" applyBorder="1" applyAlignment="1">
      <alignment horizontal="right" vertical="top"/>
    </xf>
    <xf numFmtId="0" fontId="28" fillId="3" borderId="1" xfId="0" applyFont="1" applyFill="1" applyBorder="1" applyAlignment="1">
      <alignment horizontal="right" wrapText="1"/>
    </xf>
    <xf numFmtId="0" fontId="23" fillId="2" borderId="1" xfId="0" applyFont="1" applyFill="1" applyBorder="1" applyAlignment="1">
      <alignment wrapText="1"/>
    </xf>
    <xf numFmtId="3" fontId="2" fillId="0" borderId="0" xfId="0" applyNumberFormat="1" applyFont="1" applyAlignment="1">
      <alignment horizontal="right" vertical="top"/>
    </xf>
    <xf numFmtId="3" fontId="30" fillId="2" borderId="0" xfId="0" applyNumberFormat="1" applyFont="1" applyFill="1" applyAlignment="1">
      <alignment horizontal="right" vertical="top"/>
    </xf>
    <xf numFmtId="0" fontId="15" fillId="3" borderId="1" xfId="0" applyFont="1" applyFill="1" applyBorder="1" applyAlignment="1">
      <alignment horizontal="right" wrapText="1"/>
    </xf>
    <xf numFmtId="3" fontId="14" fillId="4" borderId="1" xfId="0" applyNumberFormat="1" applyFont="1" applyFill="1" applyBorder="1" applyAlignment="1">
      <alignment horizontal="right" vertical="top"/>
    </xf>
    <xf numFmtId="3" fontId="6" fillId="3" borderId="1" xfId="0" applyNumberFormat="1" applyFont="1" applyFill="1" applyBorder="1" applyAlignment="1">
      <alignment horizontal="right" vertical="top"/>
    </xf>
    <xf numFmtId="0" fontId="28" fillId="2" borderId="0" xfId="0" applyFont="1" applyFill="1" applyAlignment="1">
      <alignment horizontal="right" wrapText="1"/>
    </xf>
    <xf numFmtId="3" fontId="28" fillId="2" borderId="0" xfId="0" applyNumberFormat="1" applyFont="1" applyFill="1" applyAlignment="1">
      <alignment horizontal="right" vertical="top"/>
    </xf>
    <xf numFmtId="3" fontId="7" fillId="3" borderId="1" xfId="0" applyNumberFormat="1" applyFont="1" applyFill="1" applyBorder="1" applyAlignment="1">
      <alignment horizontal="right" vertical="top"/>
    </xf>
    <xf numFmtId="0" fontId="31" fillId="6" borderId="1" xfId="0" applyFont="1" applyFill="1" applyBorder="1" applyAlignment="1">
      <alignment wrapText="1"/>
    </xf>
    <xf numFmtId="0" fontId="17" fillId="2" borderId="0" xfId="0" applyFont="1" applyFill="1" applyAlignment="1">
      <alignment horizontal="right" wrapText="1"/>
    </xf>
    <xf numFmtId="0" fontId="5" fillId="2" borderId="1" xfId="0" applyFont="1" applyFill="1" applyBorder="1" applyAlignment="1">
      <alignment horizontal="right"/>
    </xf>
    <xf numFmtId="3" fontId="14" fillId="2" borderId="0" xfId="0" applyNumberFormat="1" applyFont="1" applyFill="1" applyAlignment="1">
      <alignment horizontal="right" vertical="top"/>
    </xf>
    <xf numFmtId="0" fontId="17" fillId="0" borderId="1" xfId="0" applyFont="1" applyBorder="1" applyAlignment="1">
      <alignment horizontal="right" wrapText="1"/>
    </xf>
    <xf numFmtId="0" fontId="6" fillId="6" borderId="1" xfId="0" applyFont="1" applyFill="1" applyBorder="1" applyAlignment="1">
      <alignment horizontal="left" wrapText="1"/>
    </xf>
    <xf numFmtId="0" fontId="27" fillId="2" borderId="0" xfId="0" applyFont="1" applyFill="1" applyAlignment="1">
      <alignment horizontal="center" vertical="center"/>
    </xf>
    <xf numFmtId="0" fontId="30" fillId="2" borderId="0" xfId="0" applyFont="1" applyFill="1" applyAlignment="1">
      <alignment horizontal="center" vertical="center"/>
    </xf>
    <xf numFmtId="0" fontId="32" fillId="6" borderId="0" xfId="0" applyFont="1" applyFill="1" applyAlignment="1">
      <alignment horizontal="center" vertical="center"/>
    </xf>
    <xf numFmtId="0" fontId="26" fillId="9" borderId="0" xfId="0" applyFont="1" applyFill="1" applyAlignment="1">
      <alignment horizontal="center" vertical="center"/>
    </xf>
    <xf numFmtId="0" fontId="2" fillId="9" borderId="0" xfId="0" applyFont="1" applyFill="1" applyAlignment="1">
      <alignment wrapText="1"/>
    </xf>
    <xf numFmtId="0" fontId="5" fillId="6" borderId="1" xfId="0" applyFont="1" applyFill="1" applyBorder="1"/>
    <xf numFmtId="3" fontId="14" fillId="4" borderId="1" xfId="0" applyNumberFormat="1" applyFont="1" applyFill="1" applyBorder="1"/>
    <xf numFmtId="10" fontId="28" fillId="3" borderId="1" xfId="1" applyNumberFormat="1" applyFont="1" applyFill="1" applyBorder="1" applyAlignment="1">
      <alignment horizontal="right" vertical="top"/>
    </xf>
    <xf numFmtId="3" fontId="2" fillId="2" borderId="0" xfId="0" applyNumberFormat="1" applyFont="1" applyFill="1"/>
    <xf numFmtId="0" fontId="30" fillId="2" borderId="0" xfId="0" applyFont="1" applyFill="1" applyAlignment="1">
      <alignment wrapText="1"/>
    </xf>
    <xf numFmtId="0" fontId="33" fillId="2" borderId="0" xfId="0" applyFont="1" applyFill="1" applyAlignment="1">
      <alignment horizontal="right" wrapText="1"/>
    </xf>
    <xf numFmtId="3" fontId="33" fillId="2" borderId="0" xfId="0" applyNumberFormat="1" applyFont="1" applyFill="1" applyAlignment="1">
      <alignment horizontal="right" vertical="top"/>
    </xf>
    <xf numFmtId="0" fontId="5" fillId="7" borderId="1" xfId="0" applyFont="1" applyFill="1" applyBorder="1" applyAlignment="1">
      <alignment horizontal="left" vertical="center" wrapText="1"/>
    </xf>
    <xf numFmtId="3" fontId="2" fillId="4" borderId="6" xfId="0" applyNumberFormat="1" applyFont="1" applyFill="1" applyBorder="1" applyAlignment="1">
      <alignment horizontal="right"/>
    </xf>
    <xf numFmtId="3" fontId="2" fillId="4" borderId="6" xfId="0" applyNumberFormat="1" applyFont="1" applyFill="1" applyBorder="1"/>
    <xf numFmtId="0" fontId="6" fillId="3" borderId="1" xfId="0" applyFont="1" applyFill="1" applyBorder="1"/>
    <xf numFmtId="0" fontId="5" fillId="2" borderId="10" xfId="0" applyFont="1" applyFill="1" applyBorder="1" applyAlignment="1">
      <alignment horizontal="left" vertical="center"/>
    </xf>
    <xf numFmtId="0" fontId="7" fillId="3" borderId="1" xfId="0" applyFont="1" applyFill="1" applyBorder="1" applyAlignment="1">
      <alignment horizontal="center" vertical="center" wrapText="1"/>
    </xf>
    <xf numFmtId="0" fontId="23" fillId="8" borderId="3" xfId="0" applyFont="1" applyFill="1" applyBorder="1" applyAlignment="1">
      <alignment horizontal="center" vertical="center" wrapText="1"/>
    </xf>
    <xf numFmtId="3" fontId="7" fillId="3" borderId="1" xfId="0" applyNumberFormat="1" applyFont="1" applyFill="1" applyBorder="1" applyAlignment="1">
      <alignment horizontal="right" vertical="top" wrapText="1"/>
    </xf>
    <xf numFmtId="10" fontId="7" fillId="3" borderId="1" xfId="1" applyNumberFormat="1" applyFont="1" applyFill="1" applyBorder="1" applyAlignment="1">
      <alignment horizontal="right" vertical="top"/>
    </xf>
    <xf numFmtId="10" fontId="2" fillId="4" borderId="1" xfId="1" applyNumberFormat="1" applyFont="1" applyFill="1" applyBorder="1" applyAlignment="1">
      <alignment horizontal="right" vertical="top"/>
    </xf>
    <xf numFmtId="0" fontId="23" fillId="8" borderId="3" xfId="0" applyFont="1" applyFill="1" applyBorder="1" applyAlignment="1">
      <alignment horizontal="right" vertical="top" wrapText="1"/>
    </xf>
    <xf numFmtId="0" fontId="23" fillId="8" borderId="4" xfId="0" applyFont="1" applyFill="1" applyBorder="1" applyAlignment="1">
      <alignment horizontal="right" vertical="top" wrapText="1"/>
    </xf>
    <xf numFmtId="0" fontId="7" fillId="3" borderId="1" xfId="0" applyFont="1" applyFill="1" applyBorder="1" applyAlignment="1">
      <alignment horizontal="right" vertical="top" wrapText="1"/>
    </xf>
    <xf numFmtId="0" fontId="28" fillId="2" borderId="1" xfId="0" applyFont="1" applyFill="1" applyBorder="1" applyAlignment="1">
      <alignment horizontal="right" wrapText="1"/>
    </xf>
    <xf numFmtId="0" fontId="6" fillId="3" borderId="1" xfId="0" applyFont="1" applyFill="1" applyBorder="1" applyAlignment="1">
      <alignment horizontal="center" vertical="center"/>
    </xf>
    <xf numFmtId="0" fontId="35" fillId="0" borderId="0" xfId="0" applyFont="1"/>
    <xf numFmtId="0" fontId="5" fillId="2" borderId="0" xfId="0" applyFont="1" applyFill="1" applyAlignment="1">
      <alignment horizontal="center" vertical="center"/>
    </xf>
    <xf numFmtId="0" fontId="2" fillId="2" borderId="0" xfId="0" applyFont="1" applyFill="1" applyAlignment="1">
      <alignment horizontal="left" vertical="top" wrapText="1"/>
    </xf>
    <xf numFmtId="0" fontId="20" fillId="2" borderId="9" xfId="0" applyFont="1" applyFill="1" applyBorder="1" applyAlignment="1">
      <alignment horizontal="center"/>
    </xf>
    <xf numFmtId="0" fontId="23" fillId="2" borderId="0" xfId="0" applyFont="1" applyFill="1" applyAlignment="1">
      <alignment horizontal="left"/>
    </xf>
    <xf numFmtId="1" fontId="2" fillId="2" borderId="0" xfId="0" applyNumberFormat="1" applyFont="1" applyFill="1"/>
    <xf numFmtId="10" fontId="2" fillId="2" borderId="0" xfId="1" applyNumberFormat="1" applyFont="1" applyFill="1" applyBorder="1" applyAlignment="1">
      <alignment horizontal="right"/>
    </xf>
    <xf numFmtId="0" fontId="21" fillId="0" borderId="0" xfId="0" applyFont="1" applyProtection="1">
      <protection locked="0"/>
    </xf>
    <xf numFmtId="0" fontId="21" fillId="0" borderId="0" xfId="0" applyFont="1" applyAlignment="1" applyProtection="1">
      <alignment wrapText="1"/>
      <protection locked="0"/>
    </xf>
    <xf numFmtId="3" fontId="7" fillId="3" borderId="1" xfId="0" applyNumberFormat="1" applyFont="1" applyFill="1" applyBorder="1"/>
    <xf numFmtId="3" fontId="2" fillId="4" borderId="1" xfId="0" applyNumberFormat="1" applyFont="1" applyFill="1" applyBorder="1"/>
    <xf numFmtId="0" fontId="2" fillId="2" borderId="1" xfId="0" applyFont="1" applyFill="1" applyBorder="1" applyAlignment="1">
      <alignment horizontal="left" vertical="top" wrapText="1"/>
    </xf>
    <xf numFmtId="0" fontId="5" fillId="3" borderId="1" xfId="0" applyFont="1" applyFill="1" applyBorder="1" applyAlignment="1">
      <alignment horizontal="center"/>
    </xf>
    <xf numFmtId="9" fontId="2" fillId="3" borderId="1" xfId="1" applyFont="1" applyFill="1" applyBorder="1" applyAlignment="1">
      <alignment horizontal="right" vertical="top" wrapText="1" indent="2"/>
    </xf>
    <xf numFmtId="3" fontId="2" fillId="6" borderId="1" xfId="0" applyNumberFormat="1" applyFont="1" applyFill="1" applyBorder="1" applyAlignment="1">
      <alignment horizontal="right" vertical="top" wrapText="1"/>
    </xf>
    <xf numFmtId="4" fontId="2" fillId="2" borderId="0" xfId="0" applyNumberFormat="1" applyFont="1" applyFill="1"/>
    <xf numFmtId="164" fontId="5" fillId="4" borderId="1" xfId="1" applyNumberFormat="1" applyFont="1" applyFill="1" applyBorder="1" applyAlignment="1">
      <alignment horizontal="center" vertical="top" wrapText="1"/>
    </xf>
    <xf numFmtId="0" fontId="20" fillId="2" borderId="0" xfId="0" applyFont="1" applyFill="1"/>
    <xf numFmtId="3" fontId="2" fillId="2" borderId="0" xfId="0" applyNumberFormat="1" applyFont="1" applyFill="1" applyAlignment="1">
      <alignment horizontal="right" vertical="top" wrapText="1"/>
    </xf>
    <xf numFmtId="164" fontId="5" fillId="2" borderId="0" xfId="1" applyNumberFormat="1" applyFont="1" applyFill="1" applyBorder="1" applyAlignment="1">
      <alignment horizontal="center" vertical="top" wrapText="1"/>
    </xf>
    <xf numFmtId="3" fontId="20" fillId="2" borderId="0" xfId="0" applyNumberFormat="1" applyFont="1" applyFill="1" applyAlignment="1">
      <alignment horizontal="right" vertical="top"/>
    </xf>
    <xf numFmtId="3" fontId="2" fillId="9" borderId="0" xfId="0" applyNumberFormat="1" applyFont="1" applyFill="1" applyAlignment="1">
      <alignment horizontal="right" vertical="top"/>
    </xf>
    <xf numFmtId="0" fontId="0" fillId="2" borderId="0" xfId="0" applyFill="1"/>
    <xf numFmtId="10" fontId="2" fillId="0" borderId="0" xfId="1" applyNumberFormat="1" applyFont="1"/>
    <xf numFmtId="0" fontId="7" fillId="4" borderId="1" xfId="0" applyFont="1" applyFill="1" applyBorder="1" applyAlignment="1">
      <alignment horizontal="center" vertical="top"/>
    </xf>
    <xf numFmtId="0" fontId="6" fillId="4" borderId="1" xfId="0" applyFont="1" applyFill="1" applyBorder="1" applyAlignment="1">
      <alignment horizontal="center" vertical="top"/>
    </xf>
    <xf numFmtId="164" fontId="7" fillId="4" borderId="1" xfId="1" applyNumberFormat="1" applyFont="1" applyFill="1" applyBorder="1" applyAlignment="1">
      <alignment horizontal="center" vertical="top"/>
    </xf>
    <xf numFmtId="0" fontId="20" fillId="2" borderId="0" xfId="0" applyFont="1" applyFill="1" applyAlignment="1">
      <alignment horizontal="center"/>
    </xf>
    <xf numFmtId="0" fontId="13" fillId="2" borderId="0" xfId="0" applyFont="1" applyFill="1" applyAlignment="1">
      <alignment horizontal="left"/>
    </xf>
    <xf numFmtId="0" fontId="2" fillId="2" borderId="0" xfId="0" applyFont="1" applyFill="1" applyAlignment="1">
      <alignment vertical="top" wrapText="1"/>
    </xf>
    <xf numFmtId="0" fontId="36" fillId="2" borderId="10" xfId="0" applyFont="1" applyFill="1" applyBorder="1" applyAlignment="1">
      <alignment horizontal="center" vertical="center" wrapText="1"/>
    </xf>
    <xf numFmtId="0" fontId="23" fillId="2" borderId="9" xfId="0" applyFont="1" applyFill="1" applyBorder="1"/>
    <xf numFmtId="0" fontId="2" fillId="2" borderId="9" xfId="0" applyFont="1" applyFill="1" applyBorder="1"/>
    <xf numFmtId="0" fontId="23" fillId="2" borderId="9" xfId="0" applyFont="1" applyFill="1" applyBorder="1" applyAlignment="1">
      <alignment horizontal="left"/>
    </xf>
    <xf numFmtId="0" fontId="2" fillId="2" borderId="12" xfId="0" applyFont="1" applyFill="1" applyBorder="1" applyAlignment="1">
      <alignment horizontal="left"/>
    </xf>
    <xf numFmtId="0" fontId="2" fillId="2" borderId="9" xfId="0" applyFont="1" applyFill="1" applyBorder="1" applyAlignment="1">
      <alignment horizontal="left"/>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6" xfId="0" applyFont="1" applyFill="1" applyBorder="1"/>
    <xf numFmtId="0" fontId="2" fillId="2" borderId="12" xfId="0" applyFont="1" applyFill="1" applyBorder="1" applyAlignment="1">
      <alignment vertical="top" wrapText="1"/>
    </xf>
    <xf numFmtId="0" fontId="2" fillId="2" borderId="9" xfId="0" applyFont="1" applyFill="1" applyBorder="1" applyAlignment="1">
      <alignment vertical="top" wrapText="1"/>
    </xf>
    <xf numFmtId="0" fontId="36" fillId="2" borderId="7" xfId="0" applyFont="1" applyFill="1" applyBorder="1" applyAlignment="1">
      <alignment horizontal="center" vertical="center" wrapText="1"/>
    </xf>
    <xf numFmtId="10" fontId="2" fillId="2" borderId="6" xfId="0" applyNumberFormat="1" applyFont="1" applyFill="1" applyBorder="1"/>
    <xf numFmtId="0" fontId="39" fillId="0" borderId="0" xfId="0" applyFont="1" applyAlignment="1">
      <alignment horizontal="center" vertical="center"/>
    </xf>
    <xf numFmtId="3" fontId="40" fillId="4" borderId="1" xfId="0" applyNumberFormat="1" applyFont="1" applyFill="1" applyBorder="1" applyAlignment="1">
      <alignment horizontal="right" vertical="top"/>
    </xf>
    <xf numFmtId="3" fontId="5" fillId="3" borderId="1" xfId="0" applyNumberFormat="1" applyFont="1" applyFill="1" applyBorder="1" applyAlignment="1">
      <alignment horizontal="center" vertical="center" wrapText="1"/>
    </xf>
    <xf numFmtId="0" fontId="41" fillId="2" borderId="1" xfId="0" applyFont="1" applyFill="1" applyBorder="1" applyAlignment="1" applyProtection="1">
      <alignment horizontal="left" vertical="center" wrapText="1"/>
      <protection locked="0"/>
    </xf>
    <xf numFmtId="0" fontId="41" fillId="4"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protection locked="0"/>
    </xf>
    <xf numFmtId="0" fontId="43" fillId="2" borderId="0" xfId="0" applyFont="1" applyFill="1"/>
    <xf numFmtId="0" fontId="44" fillId="0" borderId="1" xfId="0" applyFont="1" applyBorder="1"/>
    <xf numFmtId="164" fontId="44" fillId="0" borderId="1" xfId="0" applyNumberFormat="1" applyFont="1" applyBorder="1"/>
    <xf numFmtId="0" fontId="44" fillId="0" borderId="0" xfId="0" applyFont="1"/>
    <xf numFmtId="164" fontId="44" fillId="0" borderId="0" xfId="0" applyNumberFormat="1" applyFont="1"/>
    <xf numFmtId="3" fontId="44" fillId="0" borderId="1" xfId="0" applyNumberFormat="1" applyFont="1" applyBorder="1" applyAlignment="1">
      <alignment horizontal="center" vertical="center" wrapText="1"/>
    </xf>
    <xf numFmtId="0" fontId="44" fillId="0" borderId="1" xfId="0" applyFont="1" applyBorder="1" applyAlignment="1">
      <alignment horizontal="center" vertical="center"/>
    </xf>
    <xf numFmtId="0" fontId="44" fillId="2" borderId="1" xfId="0" applyFont="1" applyFill="1" applyBorder="1"/>
    <xf numFmtId="0" fontId="43" fillId="0" borderId="1" xfId="0" applyFont="1" applyBorder="1"/>
    <xf numFmtId="3" fontId="44" fillId="0" borderId="1" xfId="0" applyNumberFormat="1" applyFont="1" applyBorder="1" applyAlignment="1">
      <alignment horizontal="center" vertical="center"/>
    </xf>
    <xf numFmtId="0" fontId="44" fillId="0" borderId="1" xfId="0" applyFont="1" applyBorder="1" applyAlignment="1">
      <alignment vertical="center" wrapText="1"/>
    </xf>
    <xf numFmtId="3" fontId="43" fillId="0" borderId="1" xfId="0" applyNumberFormat="1" applyFont="1" applyBorder="1" applyAlignment="1">
      <alignment horizontal="center" vertical="center" wrapText="1"/>
    </xf>
    <xf numFmtId="167" fontId="44" fillId="0" borderId="1" xfId="0" applyNumberFormat="1" applyFont="1" applyBorder="1"/>
    <xf numFmtId="3" fontId="44" fillId="0" borderId="0" xfId="0" applyNumberFormat="1" applyFont="1"/>
    <xf numFmtId="0" fontId="43" fillId="0" borderId="0" xfId="0" applyFont="1"/>
    <xf numFmtId="0" fontId="43" fillId="0" borderId="1" xfId="0" applyFont="1" applyBorder="1" applyAlignment="1">
      <alignment horizontal="center"/>
    </xf>
    <xf numFmtId="0" fontId="44" fillId="0" borderId="1" xfId="0" applyFont="1" applyBorder="1" applyAlignment="1">
      <alignment wrapText="1"/>
    </xf>
    <xf numFmtId="166" fontId="44" fillId="0" borderId="1" xfId="0" applyNumberFormat="1" applyFont="1" applyBorder="1" applyAlignment="1">
      <alignment horizontal="center" vertical="center" wrapText="1"/>
    </xf>
    <xf numFmtId="0" fontId="44" fillId="0" borderId="7" xfId="0" applyFont="1" applyBorder="1"/>
    <xf numFmtId="164" fontId="43" fillId="0" borderId="1" xfId="0" applyNumberFormat="1" applyFont="1" applyBorder="1"/>
    <xf numFmtId="4" fontId="0" fillId="2" borderId="0" xfId="0" applyNumberFormat="1" applyFill="1"/>
    <xf numFmtId="4" fontId="2" fillId="4" borderId="6" xfId="0" applyNumberFormat="1" applyFont="1" applyFill="1" applyBorder="1"/>
    <xf numFmtId="3" fontId="44" fillId="0" borderId="0" xfId="0" applyNumberFormat="1" applyFont="1" applyAlignment="1">
      <alignment horizontal="center" vertical="center"/>
    </xf>
    <xf numFmtId="0" fontId="58" fillId="2" borderId="0" xfId="0" applyFont="1" applyFill="1"/>
    <xf numFmtId="0" fontId="54" fillId="2" borderId="0" xfId="0" applyFont="1" applyFill="1" applyAlignment="1">
      <alignment horizontal="center"/>
    </xf>
    <xf numFmtId="9" fontId="54" fillId="2" borderId="0" xfId="0" applyNumberFormat="1" applyFont="1" applyFill="1"/>
    <xf numFmtId="9" fontId="54" fillId="3" borderId="0" xfId="0" applyNumberFormat="1" applyFont="1" applyFill="1" applyAlignment="1">
      <alignment horizontal="center"/>
    </xf>
    <xf numFmtId="0" fontId="59" fillId="2" borderId="0" xfId="0" applyFont="1" applyFill="1" applyAlignment="1">
      <alignment horizontal="center" vertical="center"/>
    </xf>
    <xf numFmtId="0" fontId="58" fillId="2" borderId="0" xfId="0" applyFont="1" applyFill="1" applyAlignment="1">
      <alignment horizontal="left" vertical="top" wrapText="1"/>
    </xf>
    <xf numFmtId="9" fontId="58" fillId="3" borderId="1" xfId="1" applyFont="1" applyFill="1" applyBorder="1" applyAlignment="1">
      <alignment horizontal="right" vertical="top" wrapText="1" indent="2"/>
    </xf>
    <xf numFmtId="3" fontId="58" fillId="6" borderId="1" xfId="0" applyNumberFormat="1" applyFont="1" applyFill="1" applyBorder="1" applyAlignment="1">
      <alignment horizontal="right" vertical="top" wrapText="1"/>
    </xf>
    <xf numFmtId="3" fontId="58" fillId="2" borderId="0" xfId="0" applyNumberFormat="1" applyFont="1" applyFill="1" applyAlignment="1">
      <alignment horizontal="right" vertical="top" wrapText="1"/>
    </xf>
    <xf numFmtId="0" fontId="58" fillId="2" borderId="1" xfId="0" applyFont="1" applyFill="1" applyBorder="1" applyAlignment="1">
      <alignment horizontal="left" vertical="top" wrapText="1"/>
    </xf>
    <xf numFmtId="164" fontId="54" fillId="4" borderId="1" xfId="1" applyNumberFormat="1" applyFont="1" applyFill="1" applyBorder="1" applyAlignment="1">
      <alignment horizontal="center" vertical="top" wrapText="1"/>
    </xf>
    <xf numFmtId="164" fontId="54" fillId="2" borderId="0" xfId="1" applyNumberFormat="1" applyFont="1" applyFill="1" applyBorder="1" applyAlignment="1">
      <alignment horizontal="center" vertical="top" wrapText="1"/>
    </xf>
    <xf numFmtId="0" fontId="60" fillId="13" borderId="0" xfId="0" applyFont="1" applyFill="1" applyAlignment="1" applyProtection="1">
      <alignment vertical="center"/>
      <protection locked="0"/>
    </xf>
    <xf numFmtId="0" fontId="60" fillId="0" borderId="0" xfId="0" applyFont="1" applyProtection="1">
      <protection locked="0"/>
    </xf>
    <xf numFmtId="0" fontId="60" fillId="0" borderId="0" xfId="0" applyFont="1"/>
    <xf numFmtId="49" fontId="62" fillId="0" borderId="13" xfId="0" applyNumberFormat="1" applyFont="1" applyBorder="1" applyAlignment="1" applyProtection="1">
      <alignment horizontal="center" vertical="center" wrapText="1"/>
      <protection locked="0"/>
    </xf>
    <xf numFmtId="3" fontId="63" fillId="0" borderId="13" xfId="0" applyNumberFormat="1" applyFont="1" applyBorder="1" applyAlignment="1">
      <alignment horizontal="right" vertical="center" wrapText="1"/>
    </xf>
    <xf numFmtId="0" fontId="62" fillId="0" borderId="0" xfId="0" applyFont="1" applyAlignment="1" applyProtection="1">
      <alignment horizontal="right" vertical="center" wrapText="1"/>
      <protection locked="0"/>
    </xf>
    <xf numFmtId="49" fontId="63" fillId="0" borderId="14" xfId="0" applyNumberFormat="1" applyFont="1" applyBorder="1" applyAlignment="1" applyProtection="1">
      <alignment vertical="center" wrapText="1"/>
      <protection locked="0"/>
    </xf>
    <xf numFmtId="49" fontId="62" fillId="0" borderId="0" xfId="0" applyNumberFormat="1" applyFont="1" applyAlignment="1" applyProtection="1">
      <alignment horizontal="center" vertical="center" wrapText="1"/>
      <protection locked="0"/>
    </xf>
    <xf numFmtId="49" fontId="62" fillId="0" borderId="0" xfId="0" applyNumberFormat="1" applyFont="1" applyAlignment="1" applyProtection="1">
      <alignment wrapText="1"/>
      <protection locked="0"/>
    </xf>
    <xf numFmtId="0" fontId="62" fillId="0" borderId="18" xfId="0" applyFont="1" applyBorder="1" applyAlignment="1">
      <alignment horizontal="right" wrapText="1"/>
    </xf>
    <xf numFmtId="3" fontId="63" fillId="0" borderId="13" xfId="0" applyNumberFormat="1" applyFont="1" applyBorder="1" applyAlignment="1" applyProtection="1">
      <alignment horizontal="right" vertical="center" wrapText="1"/>
      <protection locked="0"/>
    </xf>
    <xf numFmtId="49" fontId="63" fillId="0" borderId="0" xfId="0" applyNumberFormat="1" applyFont="1" applyAlignment="1" applyProtection="1">
      <alignment vertical="center" wrapText="1"/>
      <protection locked="0"/>
    </xf>
    <xf numFmtId="0" fontId="62" fillId="0" borderId="18" xfId="0" applyFont="1" applyBorder="1" applyAlignment="1">
      <alignment horizontal="right" vertical="center" wrapText="1"/>
    </xf>
    <xf numFmtId="49" fontId="0" fillId="0" borderId="15" xfId="0" applyNumberFormat="1" applyBorder="1" applyAlignment="1">
      <alignment vertical="center" wrapText="1"/>
    </xf>
    <xf numFmtId="49" fontId="0" fillId="0" borderId="16" xfId="0" applyNumberFormat="1" applyBorder="1" applyAlignment="1">
      <alignment vertical="center" wrapText="1"/>
    </xf>
    <xf numFmtId="3" fontId="63" fillId="0" borderId="17" xfId="0" applyNumberFormat="1" applyFont="1" applyBorder="1" applyAlignment="1">
      <alignment horizontal="right" vertical="center" wrapText="1"/>
    </xf>
    <xf numFmtId="0" fontId="62" fillId="0" borderId="0" xfId="0" applyFont="1" applyAlignment="1">
      <alignment horizontal="right" vertical="center" wrapText="1"/>
    </xf>
    <xf numFmtId="4" fontId="62" fillId="0" borderId="13" xfId="0" applyNumberFormat="1" applyFont="1" applyBorder="1" applyAlignment="1">
      <alignment horizontal="right" vertical="center" wrapText="1"/>
    </xf>
    <xf numFmtId="0" fontId="62" fillId="0" borderId="13" xfId="0" applyFont="1" applyBorder="1" applyAlignment="1">
      <alignment horizontal="right" vertical="center" wrapText="1"/>
    </xf>
    <xf numFmtId="49" fontId="62" fillId="0" borderId="0" xfId="0" applyNumberFormat="1" applyFont="1" applyAlignment="1" applyProtection="1">
      <alignment vertical="center" wrapText="1"/>
      <protection locked="0"/>
    </xf>
    <xf numFmtId="49" fontId="61" fillId="0" borderId="0" xfId="0" applyNumberFormat="1" applyFont="1" applyAlignment="1">
      <alignment vertical="center" wrapText="1"/>
    </xf>
    <xf numFmtId="0" fontId="61" fillId="0" borderId="19" xfId="0" applyFont="1" applyBorder="1" applyAlignment="1" applyProtection="1">
      <alignment vertical="center"/>
      <protection locked="0"/>
    </xf>
    <xf numFmtId="0" fontId="62" fillId="0" borderId="18" xfId="0" applyFont="1" applyBorder="1" applyAlignment="1" applyProtection="1">
      <alignment vertical="center"/>
      <protection locked="0"/>
    </xf>
    <xf numFmtId="0" fontId="62" fillId="0" borderId="20" xfId="0" applyFont="1" applyBorder="1" applyAlignment="1">
      <alignment vertical="center"/>
    </xf>
    <xf numFmtId="0" fontId="62" fillId="0" borderId="0" xfId="0" applyFont="1" applyAlignment="1">
      <alignment vertical="center"/>
    </xf>
    <xf numFmtId="0" fontId="62" fillId="0" borderId="21" xfId="0" applyFont="1" applyBorder="1" applyAlignment="1">
      <alignment vertical="center"/>
    </xf>
    <xf numFmtId="3" fontId="63" fillId="13" borderId="22" xfId="0" applyNumberFormat="1" applyFont="1" applyFill="1" applyBorder="1" applyAlignment="1" applyProtection="1">
      <alignment horizontal="right" vertical="center"/>
      <protection locked="0"/>
    </xf>
    <xf numFmtId="49" fontId="60" fillId="0" borderId="0" xfId="0" applyNumberFormat="1" applyFont="1" applyProtection="1">
      <protection locked="0"/>
    </xf>
    <xf numFmtId="49" fontId="64" fillId="0" borderId="0" xfId="0" applyNumberFormat="1" applyFont="1" applyProtection="1">
      <protection locked="0"/>
    </xf>
    <xf numFmtId="0" fontId="64" fillId="0" borderId="0" xfId="0" applyFont="1" applyProtection="1">
      <protection locked="0"/>
    </xf>
    <xf numFmtId="49" fontId="62" fillId="0" borderId="0" xfId="0" applyNumberFormat="1" applyFont="1"/>
    <xf numFmtId="49" fontId="60" fillId="0" borderId="0" xfId="0" applyNumberFormat="1" applyFont="1"/>
    <xf numFmtId="0" fontId="68" fillId="0" borderId="1" xfId="0" applyFont="1" applyBorder="1"/>
    <xf numFmtId="0" fontId="67" fillId="10" borderId="1" xfId="0" applyFont="1" applyFill="1" applyBorder="1" applyProtection="1">
      <protection locked="0"/>
    </xf>
    <xf numFmtId="0" fontId="68" fillId="0" borderId="0" xfId="0" applyFont="1"/>
    <xf numFmtId="0" fontId="69" fillId="0" borderId="0" xfId="0" applyFont="1" applyProtection="1">
      <protection locked="0"/>
    </xf>
    <xf numFmtId="0" fontId="69" fillId="0" borderId="0" xfId="0" applyFont="1"/>
    <xf numFmtId="0" fontId="62" fillId="0" borderId="1" xfId="0" applyFont="1" applyBorder="1"/>
    <xf numFmtId="3" fontId="69" fillId="0" borderId="1" xfId="0" applyNumberFormat="1" applyFont="1" applyBorder="1" applyProtection="1">
      <protection locked="0"/>
    </xf>
    <xf numFmtId="0" fontId="66" fillId="0" borderId="0" xfId="0" applyFont="1"/>
    <xf numFmtId="10" fontId="69" fillId="0" borderId="1" xfId="1" applyNumberFormat="1" applyFont="1" applyBorder="1" applyProtection="1">
      <protection locked="0"/>
    </xf>
    <xf numFmtId="0" fontId="69" fillId="0" borderId="1" xfId="0" applyFont="1" applyBorder="1" applyProtection="1">
      <protection locked="0"/>
    </xf>
    <xf numFmtId="0" fontId="70" fillId="0" borderId="1" xfId="0" applyFont="1" applyBorder="1" applyProtection="1">
      <protection locked="0"/>
    </xf>
    <xf numFmtId="1" fontId="70" fillId="0" borderId="1" xfId="0" applyNumberFormat="1" applyFont="1" applyBorder="1" applyProtection="1">
      <protection locked="0"/>
    </xf>
    <xf numFmtId="10" fontId="69" fillId="0" borderId="0" xfId="0" applyNumberFormat="1" applyFont="1" applyProtection="1">
      <protection locked="0"/>
    </xf>
    <xf numFmtId="10" fontId="60" fillId="0" borderId="0" xfId="0" applyNumberFormat="1" applyFont="1" applyProtection="1">
      <protection locked="0"/>
    </xf>
    <xf numFmtId="3" fontId="43" fillId="0" borderId="1" xfId="0" applyNumberFormat="1" applyFont="1" applyBorder="1"/>
    <xf numFmtId="3" fontId="44" fillId="0" borderId="1" xfId="0" applyNumberFormat="1" applyFont="1" applyBorder="1"/>
    <xf numFmtId="3" fontId="44" fillId="4" borderId="1" xfId="0" applyNumberFormat="1" applyFont="1" applyFill="1" applyBorder="1"/>
    <xf numFmtId="0" fontId="44" fillId="0" borderId="1" xfId="0" applyFont="1" applyBorder="1" applyAlignment="1">
      <alignment horizontal="center"/>
    </xf>
    <xf numFmtId="0" fontId="44" fillId="0" borderId="1" xfId="0" applyFont="1" applyBorder="1" applyAlignment="1">
      <alignment horizontal="left"/>
    </xf>
    <xf numFmtId="11" fontId="44" fillId="0" borderId="1" xfId="0" applyNumberFormat="1" applyFont="1" applyBorder="1"/>
    <xf numFmtId="0" fontId="72" fillId="0" borderId="1" xfId="0" applyFont="1" applyBorder="1" applyAlignment="1">
      <alignment horizontal="right"/>
    </xf>
    <xf numFmtId="168" fontId="66" fillId="0" borderId="1" xfId="0" applyNumberFormat="1" applyFont="1" applyBorder="1"/>
    <xf numFmtId="3" fontId="66" fillId="4" borderId="1" xfId="0" applyNumberFormat="1" applyFont="1" applyFill="1" applyBorder="1"/>
    <xf numFmtId="0" fontId="43" fillId="14" borderId="0" xfId="0" applyFont="1" applyFill="1"/>
    <xf numFmtId="164" fontId="43" fillId="14" borderId="0" xfId="0" applyNumberFormat="1" applyFont="1" applyFill="1"/>
    <xf numFmtId="0" fontId="44" fillId="4" borderId="1" xfId="0" applyFont="1" applyFill="1" applyBorder="1"/>
    <xf numFmtId="167" fontId="44" fillId="4" borderId="1" xfId="0" applyNumberFormat="1" applyFont="1" applyFill="1" applyBorder="1"/>
    <xf numFmtId="1" fontId="74" fillId="0" borderId="0" xfId="0" applyNumberFormat="1" applyFont="1"/>
    <xf numFmtId="1" fontId="44" fillId="0" borderId="0" xfId="0" applyNumberFormat="1" applyFont="1" applyAlignment="1">
      <alignment horizontal="center" vertical="center" wrapText="1"/>
    </xf>
    <xf numFmtId="0" fontId="48" fillId="8" borderId="1" xfId="0" applyFont="1" applyFill="1" applyBorder="1" applyAlignment="1">
      <alignment horizontal="center" vertical="center" wrapText="1"/>
    </xf>
    <xf numFmtId="3" fontId="44" fillId="0" borderId="0" xfId="0" applyNumberFormat="1" applyFont="1" applyAlignment="1">
      <alignment horizontal="center" vertical="center" wrapText="1"/>
    </xf>
    <xf numFmtId="0" fontId="44" fillId="0" borderId="0" xfId="0" applyFont="1" applyAlignment="1">
      <alignment vertical="center" wrapText="1"/>
    </xf>
    <xf numFmtId="3" fontId="44" fillId="4" borderId="1" xfId="0" applyNumberFormat="1" applyFont="1" applyFill="1" applyBorder="1" applyAlignment="1">
      <alignment horizontal="center" vertical="center" wrapText="1"/>
    </xf>
    <xf numFmtId="166" fontId="43" fillId="0" borderId="1" xfId="0" applyNumberFormat="1" applyFont="1" applyBorder="1" applyAlignment="1">
      <alignment horizontal="center" vertical="center" wrapText="1"/>
    </xf>
    <xf numFmtId="0" fontId="43" fillId="0" borderId="1" xfId="0" applyFont="1" applyBorder="1" applyAlignment="1">
      <alignment vertical="center" wrapText="1"/>
    </xf>
    <xf numFmtId="0" fontId="44" fillId="0" borderId="0" xfId="0" applyFont="1" applyAlignment="1">
      <alignment horizontal="center" vertical="center" wrapText="1"/>
    </xf>
    <xf numFmtId="1" fontId="44" fillId="4" borderId="1" xfId="0" applyNumberFormat="1" applyFont="1" applyFill="1" applyBorder="1" applyAlignment="1">
      <alignment horizontal="center" vertical="center" wrapText="1"/>
    </xf>
    <xf numFmtId="0" fontId="44" fillId="4" borderId="1" xfId="0" applyFont="1" applyFill="1" applyBorder="1" applyAlignment="1">
      <alignment horizontal="center" vertical="center" wrapText="1"/>
    </xf>
    <xf numFmtId="166" fontId="44" fillId="0" borderId="0" xfId="0" applyNumberFormat="1" applyFont="1" applyAlignment="1">
      <alignment horizontal="center" vertical="center" wrapText="1"/>
    </xf>
    <xf numFmtId="0" fontId="72" fillId="0" borderId="0" xfId="0" applyFont="1" applyAlignment="1">
      <alignment vertical="center" wrapText="1"/>
    </xf>
    <xf numFmtId="166" fontId="44" fillId="4" borderId="1" xfId="0" applyNumberFormat="1" applyFont="1" applyFill="1" applyBorder="1" applyAlignment="1">
      <alignment horizontal="center" vertical="center" wrapText="1"/>
    </xf>
    <xf numFmtId="0" fontId="75" fillId="8" borderId="1" xfId="0" applyFont="1" applyFill="1" applyBorder="1" applyAlignment="1">
      <alignment horizontal="center" vertical="center" wrapText="1"/>
    </xf>
    <xf numFmtId="0" fontId="43" fillId="8" borderId="1" xfId="0" applyFont="1" applyFill="1" applyBorder="1" applyAlignment="1">
      <alignment horizontal="center" vertical="center" wrapText="1"/>
    </xf>
    <xf numFmtId="0" fontId="72" fillId="0" borderId="0" xfId="0" applyFont="1" applyAlignment="1">
      <alignment vertical="top"/>
    </xf>
    <xf numFmtId="0" fontId="72" fillId="0" borderId="0" xfId="0" applyFont="1" applyAlignment="1">
      <alignment vertical="top" wrapText="1"/>
    </xf>
    <xf numFmtId="0" fontId="72" fillId="0" borderId="0" xfId="0" applyFont="1" applyAlignment="1">
      <alignment horizontal="left" wrapText="1"/>
    </xf>
    <xf numFmtId="3" fontId="44" fillId="4" borderId="1" xfId="0" applyNumberFormat="1" applyFont="1" applyFill="1" applyBorder="1" applyAlignment="1">
      <alignment horizontal="center" vertical="center"/>
    </xf>
    <xf numFmtId="3" fontId="44" fillId="0" borderId="1" xfId="0" applyNumberFormat="1" applyFont="1" applyBorder="1" applyAlignment="1">
      <alignment horizontal="left" vertical="center"/>
    </xf>
    <xf numFmtId="166" fontId="44" fillId="4" borderId="7" xfId="0" applyNumberFormat="1" applyFont="1" applyFill="1" applyBorder="1" applyAlignment="1">
      <alignment horizontal="center" vertical="center"/>
    </xf>
    <xf numFmtId="3" fontId="44" fillId="0" borderId="7" xfId="0" applyNumberFormat="1" applyFont="1" applyBorder="1" applyAlignment="1">
      <alignment horizontal="center" vertical="center"/>
    </xf>
    <xf numFmtId="0" fontId="77" fillId="2" borderId="0" xfId="0" applyFont="1" applyFill="1"/>
    <xf numFmtId="3" fontId="77" fillId="2" borderId="0" xfId="0" applyNumberFormat="1" applyFont="1" applyFill="1" applyAlignment="1">
      <alignment horizontal="right"/>
    </xf>
    <xf numFmtId="0" fontId="78" fillId="2" borderId="0" xfId="0" applyFont="1" applyFill="1"/>
    <xf numFmtId="0" fontId="79" fillId="2" borderId="0" xfId="0" applyFont="1" applyFill="1"/>
    <xf numFmtId="3" fontId="79" fillId="2" borderId="0" xfId="0" applyNumberFormat="1" applyFont="1" applyFill="1" applyAlignment="1">
      <alignment horizontal="right"/>
    </xf>
    <xf numFmtId="0" fontId="80" fillId="2" borderId="0" xfId="0" applyFont="1" applyFill="1"/>
    <xf numFmtId="0" fontId="44" fillId="2" borderId="0" xfId="0" applyFont="1" applyFill="1"/>
    <xf numFmtId="4" fontId="81" fillId="2" borderId="24" xfId="0" applyNumberFormat="1" applyFont="1" applyFill="1" applyBorder="1" applyAlignment="1">
      <alignment horizontal="center" vertical="center" wrapText="1"/>
    </xf>
    <xf numFmtId="0" fontId="81" fillId="2" borderId="25" xfId="0" applyFont="1" applyFill="1" applyBorder="1" applyProtection="1">
      <protection locked="0"/>
    </xf>
    <xf numFmtId="3" fontId="44" fillId="2" borderId="0" xfId="0" applyNumberFormat="1" applyFont="1" applyFill="1" applyAlignment="1">
      <alignment horizontal="center" vertical="center" wrapText="1"/>
    </xf>
    <xf numFmtId="3" fontId="81" fillId="2" borderId="26" xfId="0" applyNumberFormat="1" applyFont="1" applyFill="1" applyBorder="1" applyAlignment="1">
      <alignment horizontal="center" vertical="center" wrapText="1"/>
    </xf>
    <xf numFmtId="0" fontId="81" fillId="2" borderId="27" xfId="0" applyFont="1" applyFill="1" applyBorder="1" applyProtection="1">
      <protection locked="0"/>
    </xf>
    <xf numFmtId="10" fontId="81" fillId="2" borderId="28" xfId="1" applyNumberFormat="1" applyFont="1" applyFill="1" applyBorder="1" applyAlignment="1">
      <alignment horizontal="center" vertical="center" wrapText="1"/>
    </xf>
    <xf numFmtId="0" fontId="81" fillId="2" borderId="29" xfId="0" applyFont="1" applyFill="1" applyBorder="1" applyProtection="1">
      <protection locked="0"/>
    </xf>
    <xf numFmtId="3" fontId="43" fillId="2" borderId="1" xfId="0" applyNumberFormat="1" applyFont="1" applyFill="1" applyBorder="1"/>
    <xf numFmtId="3" fontId="43" fillId="2" borderId="1" xfId="0" applyNumberFormat="1" applyFont="1" applyFill="1" applyBorder="1" applyAlignment="1">
      <alignment horizontal="right" vertical="center" wrapText="1"/>
    </xf>
    <xf numFmtId="11" fontId="82" fillId="2" borderId="1" xfId="0" applyNumberFormat="1" applyFont="1" applyFill="1" applyBorder="1" applyAlignment="1">
      <alignment horizontal="center"/>
    </xf>
    <xf numFmtId="0" fontId="53" fillId="2" borderId="5" xfId="0" applyFont="1" applyFill="1" applyBorder="1" applyProtection="1">
      <protection locked="0"/>
    </xf>
    <xf numFmtId="3" fontId="44" fillId="2" borderId="1" xfId="0" applyNumberFormat="1" applyFont="1" applyFill="1" applyBorder="1" applyAlignment="1">
      <alignment horizontal="right"/>
    </xf>
    <xf numFmtId="3" fontId="44" fillId="2" borderId="1" xfId="0" applyNumberFormat="1" applyFont="1" applyFill="1" applyBorder="1" applyAlignment="1">
      <alignment horizontal="right" vertical="center" wrapText="1"/>
    </xf>
    <xf numFmtId="0" fontId="45" fillId="2" borderId="2" xfId="0" applyFont="1" applyFill="1" applyBorder="1" applyProtection="1">
      <protection locked="0"/>
    </xf>
    <xf numFmtId="3" fontId="44" fillId="2" borderId="0" xfId="0" applyNumberFormat="1" applyFont="1" applyFill="1"/>
    <xf numFmtId="0" fontId="83" fillId="14" borderId="0" xfId="0" applyFont="1" applyFill="1"/>
    <xf numFmtId="164" fontId="83" fillId="14" borderId="0" xfId="0" applyNumberFormat="1" applyFont="1" applyFill="1"/>
    <xf numFmtId="164" fontId="44" fillId="4" borderId="7" xfId="0" applyNumberFormat="1" applyFont="1" applyFill="1" applyBorder="1"/>
    <xf numFmtId="0" fontId="84" fillId="11" borderId="0" xfId="0" applyFont="1" applyFill="1"/>
    <xf numFmtId="164" fontId="44" fillId="0" borderId="1" xfId="0" applyNumberFormat="1" applyFont="1" applyBorder="1" applyAlignment="1">
      <alignment horizontal="center"/>
    </xf>
    <xf numFmtId="3" fontId="44" fillId="0" borderId="1" xfId="0" applyNumberFormat="1" applyFont="1" applyBorder="1" applyAlignment="1">
      <alignment horizontal="center"/>
    </xf>
    <xf numFmtId="2" fontId="44" fillId="0" borderId="0" xfId="0" applyNumberFormat="1" applyFont="1"/>
    <xf numFmtId="2" fontId="43" fillId="0" borderId="1" xfId="0" applyNumberFormat="1" applyFont="1" applyBorder="1"/>
    <xf numFmtId="164" fontId="43" fillId="0" borderId="1" xfId="0" applyNumberFormat="1" applyFont="1" applyBorder="1" applyAlignment="1">
      <alignment horizontal="center"/>
    </xf>
    <xf numFmtId="0" fontId="43" fillId="0" borderId="1" xfId="0" applyFont="1" applyBorder="1" applyAlignment="1">
      <alignment horizontal="left"/>
    </xf>
    <xf numFmtId="3" fontId="85" fillId="0" borderId="1" xfId="0" applyNumberFormat="1" applyFont="1" applyBorder="1" applyAlignment="1">
      <alignment horizontal="right"/>
    </xf>
    <xf numFmtId="164" fontId="68" fillId="0" borderId="1" xfId="0" applyNumberFormat="1" applyFont="1" applyBorder="1" applyAlignment="1">
      <alignment horizontal="center"/>
    </xf>
    <xf numFmtId="0" fontId="85" fillId="0" borderId="1" xfId="0" applyFont="1" applyBorder="1" applyAlignment="1">
      <alignment horizontal="left"/>
    </xf>
    <xf numFmtId="3" fontId="86" fillId="0" borderId="1" xfId="0" applyNumberFormat="1" applyFont="1" applyBorder="1" applyAlignment="1">
      <alignment horizontal="right"/>
    </xf>
    <xf numFmtId="0" fontId="86" fillId="0" borderId="1" xfId="0" applyFont="1" applyBorder="1"/>
    <xf numFmtId="3" fontId="44" fillId="0" borderId="1" xfId="0" applyNumberFormat="1" applyFont="1" applyBorder="1" applyAlignment="1">
      <alignment horizontal="right" vertical="center"/>
    </xf>
    <xf numFmtId="166" fontId="44" fillId="0" borderId="1" xfId="0" applyNumberFormat="1" applyFont="1" applyBorder="1" applyAlignment="1">
      <alignment horizontal="right"/>
    </xf>
    <xf numFmtId="166" fontId="44" fillId="4" borderId="1" xfId="0" applyNumberFormat="1" applyFont="1" applyFill="1" applyBorder="1" applyAlignment="1">
      <alignment horizontal="right"/>
    </xf>
    <xf numFmtId="166" fontId="78" fillId="4" borderId="1" xfId="0" applyNumberFormat="1" applyFont="1" applyFill="1" applyBorder="1" applyAlignment="1">
      <alignment horizontal="right"/>
    </xf>
    <xf numFmtId="164" fontId="87" fillId="0" borderId="0" xfId="0" applyNumberFormat="1" applyFont="1"/>
    <xf numFmtId="0" fontId="55" fillId="0" borderId="0" xfId="0" applyFont="1"/>
    <xf numFmtId="164" fontId="55" fillId="0" borderId="0" xfId="0" applyNumberFormat="1" applyFont="1"/>
    <xf numFmtId="3" fontId="86" fillId="0" borderId="0" xfId="0" applyNumberFormat="1" applyFont="1" applyAlignment="1">
      <alignment horizontal="right"/>
    </xf>
    <xf numFmtId="3" fontId="88" fillId="0" borderId="1" xfId="0" applyNumberFormat="1" applyFont="1" applyBorder="1" applyAlignment="1">
      <alignment horizontal="right"/>
    </xf>
    <xf numFmtId="0" fontId="89" fillId="0" borderId="1" xfId="0" applyFont="1" applyBorder="1" applyAlignment="1">
      <alignment horizontal="right"/>
    </xf>
    <xf numFmtId="0" fontId="88" fillId="0" borderId="1" xfId="0" applyFont="1" applyBorder="1" applyAlignment="1">
      <alignment horizontal="right"/>
    </xf>
    <xf numFmtId="0" fontId="86" fillId="0" borderId="1" xfId="0" applyFont="1" applyBorder="1" applyAlignment="1">
      <alignment horizontal="center"/>
    </xf>
    <xf numFmtId="0" fontId="86" fillId="0" borderId="0" xfId="0" applyFont="1"/>
    <xf numFmtId="0" fontId="90" fillId="0" borderId="0" xfId="0" applyFont="1"/>
    <xf numFmtId="164" fontId="44" fillId="4" borderId="1" xfId="0" applyNumberFormat="1" applyFont="1" applyFill="1" applyBorder="1" applyAlignment="1">
      <alignment horizontal="center" vertical="center"/>
    </xf>
    <xf numFmtId="164" fontId="44" fillId="0" borderId="1" xfId="0" applyNumberFormat="1" applyFont="1" applyBorder="1" applyAlignment="1">
      <alignment horizontal="center" vertical="center"/>
    </xf>
    <xf numFmtId="0" fontId="44" fillId="14" borderId="0" xfId="0" applyFont="1" applyFill="1"/>
    <xf numFmtId="164" fontId="44" fillId="14" borderId="0" xfId="0" applyNumberFormat="1" applyFont="1" applyFill="1"/>
    <xf numFmtId="164" fontId="44" fillId="4" borderId="1" xfId="0" applyNumberFormat="1" applyFont="1" applyFill="1" applyBorder="1"/>
    <xf numFmtId="169" fontId="44" fillId="0" borderId="0" xfId="0" applyNumberFormat="1" applyFont="1"/>
    <xf numFmtId="10" fontId="44" fillId="4" borderId="1" xfId="0" applyNumberFormat="1" applyFont="1" applyFill="1" applyBorder="1"/>
    <xf numFmtId="3" fontId="86" fillId="0" borderId="1" xfId="0" applyNumberFormat="1" applyFont="1" applyBorder="1" applyAlignment="1">
      <alignment horizontal="center"/>
    </xf>
    <xf numFmtId="0" fontId="86" fillId="0" borderId="1" xfId="0" applyFont="1" applyBorder="1" applyAlignment="1">
      <alignment horizontal="left"/>
    </xf>
    <xf numFmtId="3" fontId="92" fillId="0" borderId="1" xfId="4" applyNumberFormat="1" applyFont="1" applyBorder="1" applyAlignment="1">
      <alignment horizontal="center" vertical="center"/>
    </xf>
    <xf numFmtId="0" fontId="92" fillId="0" borderId="1" xfId="4" applyFont="1" applyBorder="1" applyAlignment="1">
      <alignment horizontal="center" vertical="center"/>
    </xf>
    <xf numFmtId="0" fontId="92" fillId="0" borderId="1" xfId="4" applyFont="1" applyBorder="1" applyAlignment="1">
      <alignment vertical="center" wrapText="1"/>
    </xf>
    <xf numFmtId="3" fontId="94" fillId="0" borderId="1" xfId="4" applyNumberFormat="1" applyFont="1" applyBorder="1" applyAlignment="1">
      <alignment horizontal="center" vertical="center"/>
    </xf>
    <xf numFmtId="0" fontId="94" fillId="0" borderId="1" xfId="4" applyFont="1" applyBorder="1" applyAlignment="1">
      <alignment horizontal="center" vertical="center"/>
    </xf>
    <xf numFmtId="0" fontId="94" fillId="0" borderId="1" xfId="4" applyFont="1" applyBorder="1" applyAlignment="1">
      <alignment vertical="center" wrapText="1"/>
    </xf>
    <xf numFmtId="0" fontId="92" fillId="0" borderId="1" xfId="4" applyFont="1" applyBorder="1" applyAlignment="1">
      <alignment horizontal="center" vertical="center" wrapText="1"/>
    </xf>
    <xf numFmtId="0" fontId="94" fillId="0" borderId="1" xfId="4" applyFont="1" applyBorder="1" applyAlignment="1">
      <alignment horizontal="center" vertical="center" wrapText="1"/>
    </xf>
    <xf numFmtId="0" fontId="44" fillId="4" borderId="0" xfId="0" applyFont="1" applyFill="1"/>
    <xf numFmtId="0" fontId="96" fillId="8" borderId="0" xfId="0" applyFont="1" applyFill="1"/>
    <xf numFmtId="0" fontId="97" fillId="2" borderId="0" xfId="0" applyFont="1" applyFill="1"/>
    <xf numFmtId="0" fontId="97" fillId="2" borderId="0" xfId="0" applyFont="1" applyFill="1" applyAlignment="1">
      <alignment horizontal="center" vertical="center"/>
    </xf>
    <xf numFmtId="0" fontId="97" fillId="2" borderId="1" xfId="0" applyFont="1" applyFill="1" applyBorder="1" applyAlignment="1">
      <alignment horizontal="right" wrapText="1"/>
    </xf>
    <xf numFmtId="0" fontId="98" fillId="3" borderId="1" xfId="0" applyFont="1" applyFill="1" applyBorder="1" applyAlignment="1">
      <alignment horizontal="center" vertical="top"/>
    </xf>
    <xf numFmtId="0" fontId="99" fillId="3" borderId="1" xfId="0" applyFont="1" applyFill="1" applyBorder="1" applyAlignment="1">
      <alignment horizontal="center" vertical="top"/>
    </xf>
    <xf numFmtId="0" fontId="100" fillId="2" borderId="0" xfId="0" applyFont="1" applyFill="1" applyAlignment="1">
      <alignment horizontal="center" vertical="center"/>
    </xf>
    <xf numFmtId="3" fontId="97" fillId="2" borderId="0" xfId="0" applyNumberFormat="1" applyFont="1" applyFill="1"/>
    <xf numFmtId="0" fontId="100" fillId="2" borderId="0" xfId="0" applyFont="1" applyFill="1"/>
    <xf numFmtId="0" fontId="97" fillId="3" borderId="0" xfId="0" applyFont="1" applyFill="1" applyAlignment="1">
      <alignment horizontal="center" vertical="center"/>
    </xf>
    <xf numFmtId="164" fontId="97" fillId="3" borderId="0" xfId="1" applyNumberFormat="1" applyFont="1" applyFill="1"/>
    <xf numFmtId="0" fontId="100" fillId="6" borderId="0" xfId="0" applyFont="1" applyFill="1"/>
    <xf numFmtId="0" fontId="97" fillId="6" borderId="0" xfId="0" applyFont="1" applyFill="1" applyAlignment="1">
      <alignment horizontal="center" vertical="center"/>
    </xf>
    <xf numFmtId="0" fontId="97" fillId="6" borderId="0" xfId="0" applyFont="1" applyFill="1"/>
    <xf numFmtId="0" fontId="97" fillId="3" borderId="0" xfId="0" applyFont="1" applyFill="1" applyAlignment="1">
      <alignment horizontal="right"/>
    </xf>
    <xf numFmtId="3" fontId="97" fillId="3" borderId="0" xfId="0" applyNumberFormat="1" applyFont="1" applyFill="1"/>
    <xf numFmtId="0" fontId="97" fillId="2" borderId="0" xfId="0" applyFont="1" applyFill="1" applyAlignment="1">
      <alignment horizontal="right"/>
    </xf>
    <xf numFmtId="4" fontId="97" fillId="2" borderId="0" xfId="0" applyNumberFormat="1" applyFont="1" applyFill="1"/>
    <xf numFmtId="9" fontId="97" fillId="2" borderId="0" xfId="0" applyNumberFormat="1" applyFont="1" applyFill="1"/>
    <xf numFmtId="3" fontId="100" fillId="3" borderId="0" xfId="0" applyNumberFormat="1" applyFont="1" applyFill="1"/>
    <xf numFmtId="0" fontId="101" fillId="2" borderId="0" xfId="0" applyFont="1" applyFill="1"/>
    <xf numFmtId="0" fontId="97" fillId="2" borderId="0" xfId="0" applyFont="1" applyFill="1" applyAlignment="1">
      <alignment horizontal="right" vertical="center"/>
    </xf>
    <xf numFmtId="3" fontId="97" fillId="2" borderId="0" xfId="0" applyNumberFormat="1" applyFont="1" applyFill="1" applyAlignment="1">
      <alignment horizontal="right"/>
    </xf>
    <xf numFmtId="9" fontId="97" fillId="2" borderId="0" xfId="0" applyNumberFormat="1" applyFont="1" applyFill="1" applyAlignment="1">
      <alignment horizontal="right"/>
    </xf>
    <xf numFmtId="0" fontId="102" fillId="2" borderId="0" xfId="0" applyFont="1" applyFill="1"/>
    <xf numFmtId="0" fontId="103" fillId="6" borderId="0" xfId="0" applyFont="1" applyFill="1"/>
    <xf numFmtId="0" fontId="97" fillId="4" borderId="1" xfId="0" applyFont="1" applyFill="1" applyBorder="1" applyAlignment="1">
      <alignment horizontal="right"/>
    </xf>
    <xf numFmtId="0" fontId="97" fillId="2" borderId="0" xfId="0" applyFont="1" applyFill="1" applyAlignment="1">
      <alignment horizontal="right" vertical="top"/>
    </xf>
    <xf numFmtId="164" fontId="98" fillId="3" borderId="1" xfId="1" applyNumberFormat="1" applyFont="1" applyFill="1" applyBorder="1" applyAlignment="1">
      <alignment horizontal="right" vertical="top"/>
    </xf>
    <xf numFmtId="0" fontId="97" fillId="2" borderId="0" xfId="0" applyFont="1" applyFill="1" applyAlignment="1">
      <alignment horizontal="right" wrapText="1"/>
    </xf>
    <xf numFmtId="0" fontId="98" fillId="4" borderId="1" xfId="0" applyFont="1" applyFill="1" applyBorder="1" applyAlignment="1">
      <alignment horizontal="center" vertical="top"/>
    </xf>
    <xf numFmtId="0" fontId="99" fillId="4" borderId="1" xfId="0" applyFont="1" applyFill="1" applyBorder="1" applyAlignment="1">
      <alignment horizontal="center" vertical="top"/>
    </xf>
    <xf numFmtId="164" fontId="98" fillId="4" borderId="1" xfId="1" applyNumberFormat="1" applyFont="1" applyFill="1" applyBorder="1" applyAlignment="1">
      <alignment horizontal="center" vertical="top"/>
    </xf>
    <xf numFmtId="0" fontId="97" fillId="2" borderId="0" xfId="0" applyFont="1" applyFill="1" applyAlignment="1">
      <alignment wrapText="1"/>
    </xf>
    <xf numFmtId="0" fontId="100" fillId="2" borderId="0" xfId="0" applyFont="1" applyFill="1" applyAlignment="1">
      <alignment wrapText="1"/>
    </xf>
    <xf numFmtId="0" fontId="104" fillId="2" borderId="0" xfId="0" applyFont="1" applyFill="1" applyAlignment="1">
      <alignment horizontal="center" vertical="center"/>
    </xf>
    <xf numFmtId="0" fontId="100" fillId="6" borderId="1" xfId="0" applyFont="1" applyFill="1" applyBorder="1" applyAlignment="1">
      <alignment wrapText="1"/>
    </xf>
    <xf numFmtId="3" fontId="97" fillId="4" borderId="1" xfId="0" applyNumberFormat="1" applyFont="1" applyFill="1" applyBorder="1" applyAlignment="1">
      <alignment horizontal="right" vertical="top"/>
    </xf>
    <xf numFmtId="3" fontId="97" fillId="2" borderId="0" xfId="0" applyNumberFormat="1" applyFont="1" applyFill="1" applyAlignment="1">
      <alignment horizontal="right" vertical="top"/>
    </xf>
    <xf numFmtId="0" fontId="105" fillId="3" borderId="1" xfId="0" applyFont="1" applyFill="1" applyBorder="1" applyAlignment="1">
      <alignment horizontal="right" wrapText="1"/>
    </xf>
    <xf numFmtId="3" fontId="98" fillId="3" borderId="1" xfId="0" applyNumberFormat="1" applyFont="1" applyFill="1" applyBorder="1" applyAlignment="1">
      <alignment horizontal="right" vertical="top"/>
    </xf>
    <xf numFmtId="0" fontId="106" fillId="3" borderId="1" xfId="0" applyFont="1" applyFill="1" applyBorder="1" applyAlignment="1">
      <alignment horizontal="right" wrapText="1"/>
    </xf>
    <xf numFmtId="0" fontId="107" fillId="2" borderId="0" xfId="0" applyFont="1" applyFill="1" applyAlignment="1">
      <alignment horizontal="center" vertical="center"/>
    </xf>
    <xf numFmtId="3" fontId="102" fillId="3" borderId="1" xfId="0" applyNumberFormat="1" applyFont="1" applyFill="1" applyBorder="1" applyAlignment="1">
      <alignment horizontal="right" vertical="top"/>
    </xf>
    <xf numFmtId="3" fontId="102" fillId="2" borderId="0" xfId="0" applyNumberFormat="1" applyFont="1" applyFill="1" applyAlignment="1">
      <alignment horizontal="right" vertical="top"/>
    </xf>
    <xf numFmtId="0" fontId="102" fillId="2" borderId="0" xfId="0" applyFont="1" applyFill="1" applyAlignment="1">
      <alignment horizontal="right" vertical="top"/>
    </xf>
    <xf numFmtId="0" fontId="101" fillId="2" borderId="1" xfId="0" applyFont="1" applyFill="1" applyBorder="1" applyAlignment="1">
      <alignment wrapText="1"/>
    </xf>
    <xf numFmtId="167" fontId="102" fillId="2" borderId="0" xfId="0" applyNumberFormat="1" applyFont="1" applyFill="1"/>
    <xf numFmtId="0" fontId="97" fillId="2" borderId="1" xfId="0" applyFont="1" applyFill="1" applyBorder="1" applyAlignment="1">
      <alignment wrapText="1"/>
    </xf>
    <xf numFmtId="0" fontId="100" fillId="2" borderId="1" xfId="0" applyFont="1" applyFill="1" applyBorder="1" applyAlignment="1">
      <alignment horizontal="right" wrapText="1"/>
    </xf>
    <xf numFmtId="0" fontId="108" fillId="2" borderId="1" xfId="0" applyFont="1" applyFill="1" applyBorder="1" applyAlignment="1">
      <alignment horizontal="right" wrapText="1"/>
    </xf>
    <xf numFmtId="0" fontId="108" fillId="2" borderId="0" xfId="0" applyFont="1" applyFill="1" applyAlignment="1">
      <alignment horizontal="right" vertical="top"/>
    </xf>
    <xf numFmtId="165" fontId="97" fillId="4" borderId="1" xfId="0" applyNumberFormat="1" applyFont="1" applyFill="1" applyBorder="1" applyAlignment="1">
      <alignment horizontal="right" vertical="top"/>
    </xf>
    <xf numFmtId="3" fontId="97" fillId="0" borderId="0" xfId="0" applyNumberFormat="1" applyFont="1" applyAlignment="1">
      <alignment horizontal="right" vertical="top"/>
    </xf>
    <xf numFmtId="3" fontId="100" fillId="4" borderId="1" xfId="0" applyNumberFormat="1" applyFont="1" applyFill="1" applyBorder="1" applyAlignment="1">
      <alignment horizontal="right" vertical="top"/>
    </xf>
    <xf numFmtId="3" fontId="109" fillId="2" borderId="0" xfId="0" applyNumberFormat="1" applyFont="1" applyFill="1" applyAlignment="1">
      <alignment horizontal="right" vertical="top"/>
    </xf>
    <xf numFmtId="0" fontId="102" fillId="0" borderId="0" xfId="0" applyFont="1"/>
    <xf numFmtId="0" fontId="106" fillId="2" borderId="1" xfId="0" applyFont="1" applyFill="1" applyBorder="1" applyAlignment="1">
      <alignment horizontal="right" wrapText="1"/>
    </xf>
    <xf numFmtId="0" fontId="106" fillId="2" borderId="0" xfId="0" applyFont="1" applyFill="1" applyAlignment="1">
      <alignment horizontal="right" vertical="top"/>
    </xf>
    <xf numFmtId="0" fontId="110" fillId="2" borderId="0" xfId="0" applyFont="1" applyFill="1" applyAlignment="1">
      <alignment horizontal="center" vertical="top"/>
    </xf>
    <xf numFmtId="0" fontId="111" fillId="2" borderId="0" xfId="0" applyFont="1" applyFill="1" applyAlignment="1">
      <alignment horizontal="center" vertical="top"/>
    </xf>
    <xf numFmtId="0" fontId="108" fillId="0" borderId="1" xfId="0" applyFont="1" applyBorder="1" applyAlignment="1">
      <alignment horizontal="right" wrapText="1"/>
    </xf>
    <xf numFmtId="0" fontId="100" fillId="2" borderId="1" xfId="0" applyFont="1" applyFill="1" applyBorder="1" applyAlignment="1">
      <alignment horizontal="right"/>
    </xf>
    <xf numFmtId="0" fontId="99" fillId="3" borderId="1" xfId="0" applyFont="1" applyFill="1" applyBorder="1"/>
    <xf numFmtId="3" fontId="99" fillId="3" borderId="1" xfId="0" applyNumberFormat="1" applyFont="1" applyFill="1" applyBorder="1" applyAlignment="1">
      <alignment horizontal="right" vertical="top"/>
    </xf>
    <xf numFmtId="0" fontId="97" fillId="12" borderId="0" xfId="0" applyFont="1" applyFill="1"/>
    <xf numFmtId="3" fontId="97" fillId="12" borderId="0" xfId="0" applyNumberFormat="1" applyFont="1" applyFill="1"/>
    <xf numFmtId="0" fontId="97" fillId="0" borderId="0" xfId="0" applyFont="1"/>
    <xf numFmtId="0" fontId="71" fillId="6" borderId="0" xfId="0" applyFont="1" applyFill="1"/>
    <xf numFmtId="164" fontId="112" fillId="4" borderId="1" xfId="1" applyNumberFormat="1" applyFont="1" applyFill="1" applyBorder="1" applyAlignment="1">
      <alignment horizontal="right" vertical="top"/>
    </xf>
    <xf numFmtId="3" fontId="102" fillId="4" borderId="1" xfId="0" applyNumberFormat="1" applyFont="1" applyFill="1" applyBorder="1" applyAlignment="1">
      <alignment horizontal="right" vertical="top"/>
    </xf>
    <xf numFmtId="0" fontId="113" fillId="3" borderId="1" xfId="0" applyFont="1" applyFill="1" applyBorder="1" applyAlignment="1">
      <alignment horizontal="right" wrapText="1"/>
    </xf>
    <xf numFmtId="9" fontId="97" fillId="0" borderId="0" xfId="0" applyNumberFormat="1" applyFont="1"/>
    <xf numFmtId="0" fontId="105" fillId="2" borderId="0" xfId="0" applyFont="1" applyFill="1" applyAlignment="1">
      <alignment horizontal="right" wrapText="1"/>
    </xf>
    <xf numFmtId="164" fontId="98" fillId="2" borderId="0" xfId="1" applyNumberFormat="1" applyFont="1" applyFill="1" applyAlignment="1">
      <alignment horizontal="right" vertical="top"/>
    </xf>
    <xf numFmtId="0" fontId="99" fillId="6" borderId="1" xfId="0" applyFont="1" applyFill="1" applyBorder="1" applyAlignment="1">
      <alignment horizontal="left" wrapText="1"/>
    </xf>
    <xf numFmtId="3" fontId="105" fillId="3" borderId="1" xfId="0" applyNumberFormat="1" applyFont="1" applyFill="1" applyBorder="1" applyAlignment="1">
      <alignment horizontal="right" vertical="top"/>
    </xf>
    <xf numFmtId="3" fontId="97" fillId="4" borderId="2" xfId="0" applyNumberFormat="1" applyFont="1" applyFill="1" applyBorder="1" applyAlignment="1">
      <alignment horizontal="right" vertical="top"/>
    </xf>
    <xf numFmtId="3" fontId="97" fillId="2" borderId="1" xfId="0" applyNumberFormat="1" applyFont="1" applyFill="1" applyBorder="1" applyAlignment="1">
      <alignment horizontal="right" vertical="top"/>
    </xf>
    <xf numFmtId="10" fontId="97" fillId="2" borderId="23" xfId="1" applyNumberFormat="1" applyFont="1" applyFill="1" applyBorder="1" applyAlignment="1">
      <alignment horizontal="right" vertical="top"/>
    </xf>
    <xf numFmtId="0" fontId="114" fillId="0" borderId="0" xfId="0" applyFont="1"/>
    <xf numFmtId="0" fontId="115" fillId="2" borderId="0" xfId="0" applyFont="1" applyFill="1" applyAlignment="1">
      <alignment horizontal="right" wrapText="1"/>
    </xf>
    <xf numFmtId="0" fontId="114" fillId="2" borderId="0" xfId="0" applyFont="1" applyFill="1" applyAlignment="1">
      <alignment horizontal="right" vertical="top"/>
    </xf>
    <xf numFmtId="3" fontId="115" fillId="2" borderId="0" xfId="0" applyNumberFormat="1" applyFont="1" applyFill="1" applyAlignment="1">
      <alignment horizontal="right" vertical="top"/>
    </xf>
    <xf numFmtId="3" fontId="114" fillId="2" borderId="0" xfId="0" applyNumberFormat="1" applyFont="1" applyFill="1" applyAlignment="1">
      <alignment horizontal="right" vertical="top"/>
    </xf>
    <xf numFmtId="0" fontId="114" fillId="2" borderId="0" xfId="0" applyFont="1" applyFill="1"/>
    <xf numFmtId="0" fontId="100" fillId="9" borderId="0" xfId="0" applyFont="1" applyFill="1" applyAlignment="1">
      <alignment horizontal="right" wrapText="1"/>
    </xf>
    <xf numFmtId="0" fontId="97" fillId="9" borderId="0" xfId="0" applyFont="1" applyFill="1" applyAlignment="1">
      <alignment horizontal="right" vertical="top"/>
    </xf>
    <xf numFmtId="3" fontId="100" fillId="9" borderId="0" xfId="0" applyNumberFormat="1" applyFont="1" applyFill="1" applyAlignment="1">
      <alignment horizontal="right" vertical="top"/>
    </xf>
    <xf numFmtId="3" fontId="97" fillId="9" borderId="0" xfId="0" applyNumberFormat="1" applyFont="1" applyFill="1" applyAlignment="1">
      <alignment horizontal="right" vertical="top"/>
    </xf>
    <xf numFmtId="3" fontId="100" fillId="2" borderId="0" xfId="0" applyNumberFormat="1" applyFont="1" applyFill="1" applyAlignment="1">
      <alignment horizontal="right" vertical="top"/>
    </xf>
    <xf numFmtId="0" fontId="99" fillId="6" borderId="1" xfId="0" applyFont="1" applyFill="1" applyBorder="1" applyAlignment="1">
      <alignment wrapText="1"/>
    </xf>
    <xf numFmtId="0" fontId="116" fillId="6" borderId="1" xfId="0" applyFont="1" applyFill="1" applyBorder="1" applyAlignment="1">
      <alignment wrapText="1"/>
    </xf>
    <xf numFmtId="3" fontId="112" fillId="4" borderId="1" xfId="0" applyNumberFormat="1" applyFont="1" applyFill="1" applyBorder="1" applyAlignment="1">
      <alignment horizontal="right" vertical="top"/>
    </xf>
    <xf numFmtId="0" fontId="100" fillId="2" borderId="1" xfId="0" applyFont="1" applyFill="1" applyBorder="1"/>
    <xf numFmtId="0" fontId="97" fillId="3" borderId="0" xfId="0" applyFont="1" applyFill="1" applyAlignment="1">
      <alignment horizontal="right" vertical="top"/>
    </xf>
    <xf numFmtId="3" fontId="97" fillId="12" borderId="1" xfId="0" applyNumberFormat="1" applyFont="1" applyFill="1" applyBorder="1" applyAlignment="1">
      <alignment horizontal="right" vertical="top"/>
    </xf>
    <xf numFmtId="0" fontId="100" fillId="0" borderId="0" xfId="0" applyFont="1" applyAlignment="1">
      <alignment wrapText="1"/>
    </xf>
    <xf numFmtId="9" fontId="102" fillId="14" borderId="0" xfId="1" applyFont="1" applyFill="1"/>
    <xf numFmtId="0" fontId="97" fillId="14" borderId="0" xfId="0" applyFont="1" applyFill="1" applyAlignment="1">
      <alignment horizontal="right" vertical="top"/>
    </xf>
    <xf numFmtId="0" fontId="102" fillId="14" borderId="0" xfId="0" applyFont="1" applyFill="1" applyAlignment="1">
      <alignment horizontal="right" vertical="top"/>
    </xf>
    <xf numFmtId="9" fontId="97" fillId="14" borderId="0" xfId="1" applyFont="1" applyFill="1" applyAlignment="1">
      <alignment horizontal="right" vertical="top"/>
    </xf>
    <xf numFmtId="0" fontId="67" fillId="10" borderId="1" xfId="0" applyFont="1" applyFill="1" applyBorder="1" applyAlignment="1">
      <alignment wrapText="1"/>
    </xf>
    <xf numFmtId="0" fontId="69" fillId="0" borderId="1" xfId="0" applyFont="1" applyBorder="1" applyAlignment="1">
      <alignment horizontal="right" wrapText="1"/>
    </xf>
    <xf numFmtId="49" fontId="69" fillId="0" borderId="1" xfId="0" applyNumberFormat="1" applyFont="1" applyBorder="1" applyAlignment="1">
      <alignment horizontal="right" wrapText="1"/>
    </xf>
    <xf numFmtId="0" fontId="69" fillId="0" borderId="1" xfId="0" applyFont="1" applyBorder="1" applyAlignment="1">
      <alignment wrapText="1"/>
    </xf>
    <xf numFmtId="0" fontId="70" fillId="0" borderId="1" xfId="0" applyFont="1" applyBorder="1" applyAlignment="1">
      <alignment horizontal="right" wrapText="1"/>
    </xf>
    <xf numFmtId="0" fontId="69" fillId="0" borderId="0" xfId="0" applyFont="1" applyAlignment="1">
      <alignment wrapText="1"/>
    </xf>
    <xf numFmtId="0" fontId="60" fillId="0" borderId="0" xfId="0" applyFont="1" applyAlignment="1">
      <alignment wrapText="1"/>
    </xf>
    <xf numFmtId="9" fontId="97" fillId="14" borderId="0" xfId="0" applyNumberFormat="1" applyFont="1" applyFill="1"/>
    <xf numFmtId="164" fontId="97" fillId="14" borderId="0" xfId="0" applyNumberFormat="1" applyFont="1" applyFill="1"/>
    <xf numFmtId="0" fontId="97" fillId="14" borderId="0" xfId="0" applyFont="1" applyFill="1"/>
    <xf numFmtId="10" fontId="99" fillId="3" borderId="1" xfId="0" applyNumberFormat="1" applyFont="1" applyFill="1" applyBorder="1" applyAlignment="1">
      <alignment horizontal="right" vertical="top"/>
    </xf>
    <xf numFmtId="169" fontId="99" fillId="3" borderId="1" xfId="0" applyNumberFormat="1" applyFont="1" applyFill="1" applyBorder="1" applyAlignment="1">
      <alignment horizontal="right" vertical="top"/>
    </xf>
    <xf numFmtId="0" fontId="117" fillId="2" borderId="0" xfId="0" applyFont="1" applyFill="1"/>
    <xf numFmtId="0" fontId="118" fillId="3" borderId="1" xfId="0" applyFont="1" applyFill="1" applyBorder="1" applyAlignment="1">
      <alignment horizontal="right" wrapText="1"/>
    </xf>
    <xf numFmtId="167" fontId="117" fillId="14" borderId="0" xfId="0" applyNumberFormat="1" applyFont="1" applyFill="1"/>
    <xf numFmtId="0" fontId="119" fillId="2" borderId="0" xfId="0" applyFont="1" applyFill="1" applyAlignment="1">
      <alignment horizontal="center" vertical="center"/>
    </xf>
    <xf numFmtId="3" fontId="117" fillId="3" borderId="1" xfId="0" applyNumberFormat="1" applyFont="1" applyFill="1" applyBorder="1" applyAlignment="1">
      <alignment horizontal="right" vertical="top"/>
    </xf>
    <xf numFmtId="3" fontId="117" fillId="2" borderId="0" xfId="0" applyNumberFormat="1" applyFont="1" applyFill="1" applyAlignment="1">
      <alignment horizontal="right" vertical="top"/>
    </xf>
    <xf numFmtId="0" fontId="117" fillId="2" borderId="0" xfId="0" applyFont="1" applyFill="1" applyAlignment="1">
      <alignment horizontal="right" vertical="top"/>
    </xf>
    <xf numFmtId="0" fontId="117" fillId="14" borderId="0" xfId="0" applyFont="1" applyFill="1"/>
    <xf numFmtId="0" fontId="120" fillId="2" borderId="0" xfId="0" applyFont="1" applyFill="1" applyAlignment="1">
      <alignment horizontal="center" vertical="center"/>
    </xf>
    <xf numFmtId="0" fontId="100" fillId="2" borderId="0" xfId="0" applyFont="1" applyFill="1" applyAlignment="1">
      <alignment horizontal="right" vertical="top"/>
    </xf>
    <xf numFmtId="3" fontId="117" fillId="4" borderId="1" xfId="0" applyNumberFormat="1" applyFont="1" applyFill="1" applyBorder="1" applyAlignment="1">
      <alignment horizontal="right" vertical="top"/>
    </xf>
    <xf numFmtId="0" fontId="117" fillId="0" borderId="0" xfId="0" applyFont="1"/>
    <xf numFmtId="9" fontId="117" fillId="14" borderId="0" xfId="0" applyNumberFormat="1" applyFont="1" applyFill="1" applyAlignment="1">
      <alignment horizontal="right" vertical="top"/>
    </xf>
    <xf numFmtId="0" fontId="117" fillId="14" borderId="0" xfId="0" applyFont="1" applyFill="1" applyAlignment="1">
      <alignment horizontal="right" vertical="top"/>
    </xf>
    <xf numFmtId="167" fontId="102" fillId="15" borderId="0" xfId="0" applyNumberFormat="1" applyFont="1" applyFill="1"/>
    <xf numFmtId="3" fontId="97" fillId="15" borderId="0" xfId="0" applyNumberFormat="1" applyFont="1" applyFill="1" applyAlignment="1">
      <alignment horizontal="right" vertical="top"/>
    </xf>
    <xf numFmtId="167" fontId="0" fillId="0" borderId="0" xfId="0" applyNumberFormat="1"/>
    <xf numFmtId="0" fontId="121" fillId="0" borderId="0" xfId="0" applyFont="1"/>
    <xf numFmtId="0" fontId="121" fillId="0" borderId="0" xfId="0" quotePrefix="1" applyFont="1"/>
    <xf numFmtId="2" fontId="0" fillId="0" borderId="0" xfId="0" applyNumberFormat="1"/>
    <xf numFmtId="0" fontId="71" fillId="0" borderId="0" xfId="0" applyFont="1"/>
    <xf numFmtId="1" fontId="71" fillId="0" borderId="0" xfId="0" applyNumberFormat="1" applyFont="1"/>
    <xf numFmtId="2" fontId="71" fillId="0" borderId="0" xfId="0" applyNumberFormat="1" applyFont="1"/>
    <xf numFmtId="167" fontId="71" fillId="0" borderId="0" xfId="0" applyNumberFormat="1" applyFont="1"/>
    <xf numFmtId="0" fontId="43" fillId="0" borderId="0" xfId="0" applyFont="1" applyAlignment="1">
      <alignment vertical="center" wrapText="1"/>
    </xf>
    <xf numFmtId="166" fontId="43" fillId="0" borderId="0" xfId="0" applyNumberFormat="1" applyFont="1" applyAlignment="1">
      <alignment horizontal="center" vertical="center" wrapText="1"/>
    </xf>
    <xf numFmtId="3" fontId="43" fillId="0" borderId="0" xfId="0" applyNumberFormat="1" applyFont="1"/>
    <xf numFmtId="0" fontId="5" fillId="2" borderId="0" xfId="0" applyFont="1" applyFill="1" applyAlignment="1">
      <alignment horizontal="center"/>
    </xf>
    <xf numFmtId="3" fontId="5" fillId="2" borderId="0" xfId="0" applyNumberFormat="1" applyFont="1" applyFill="1" applyAlignment="1">
      <alignment horizontal="right" vertical="top" wrapText="1"/>
    </xf>
    <xf numFmtId="10" fontId="97" fillId="2" borderId="0" xfId="0" applyNumberFormat="1" applyFont="1" applyFill="1" applyAlignment="1">
      <alignment horizontal="right" vertical="top"/>
    </xf>
    <xf numFmtId="9" fontId="97" fillId="2" borderId="0" xfId="1" applyFont="1" applyFill="1" applyAlignment="1">
      <alignment horizontal="right" vertical="top"/>
    </xf>
    <xf numFmtId="170" fontId="44" fillId="0" borderId="1" xfId="0" applyNumberFormat="1" applyFont="1" applyBorder="1"/>
    <xf numFmtId="0" fontId="0" fillId="0" borderId="1" xfId="0" applyBorder="1"/>
    <xf numFmtId="167" fontId="0" fillId="0" borderId="1" xfId="0" applyNumberFormat="1" applyBorder="1"/>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6" fillId="2" borderId="0" xfId="0" applyFont="1" applyFill="1" applyAlignment="1">
      <alignment horizontal="right"/>
    </xf>
    <xf numFmtId="0" fontId="96" fillId="8" borderId="0" xfId="0" applyFont="1" applyFill="1" applyAlignment="1">
      <alignment horizontal="left" wrapText="1"/>
    </xf>
    <xf numFmtId="0" fontId="44" fillId="0" borderId="2" xfId="0" applyFont="1" applyBorder="1" applyAlignment="1">
      <alignment horizontal="left"/>
    </xf>
    <xf numFmtId="0" fontId="44" fillId="0" borderId="4" xfId="0" applyFont="1" applyBorder="1" applyAlignment="1">
      <alignment horizontal="left"/>
    </xf>
    <xf numFmtId="0" fontId="44" fillId="0" borderId="1" xfId="0" applyFont="1" applyBorder="1" applyAlignment="1">
      <alignment horizontal="left"/>
    </xf>
    <xf numFmtId="0" fontId="94" fillId="0" borderId="1" xfId="4" applyFont="1" applyBorder="1" applyAlignment="1">
      <alignment horizontal="center" vertical="center" wrapText="1"/>
    </xf>
    <xf numFmtId="0" fontId="90" fillId="0" borderId="1" xfId="0" applyFont="1" applyBorder="1" applyAlignment="1">
      <alignment horizontal="center"/>
    </xf>
    <xf numFmtId="0" fontId="48" fillId="8" borderId="1" xfId="0" applyFont="1" applyFill="1" applyBorder="1" applyAlignment="1">
      <alignment horizontal="center" vertical="center" wrapText="1"/>
    </xf>
    <xf numFmtId="0" fontId="56" fillId="2" borderId="0" xfId="0" applyFont="1" applyFill="1" applyAlignment="1">
      <alignment horizontal="center"/>
    </xf>
    <xf numFmtId="0" fontId="48" fillId="8" borderId="5" xfId="0" applyFont="1" applyFill="1" applyBorder="1" applyAlignment="1">
      <alignment horizontal="center" vertical="center" wrapText="1"/>
    </xf>
    <xf numFmtId="0" fontId="48" fillId="8" borderId="7" xfId="0" applyFont="1" applyFill="1" applyBorder="1" applyAlignment="1">
      <alignment horizontal="center" vertical="center" wrapText="1"/>
    </xf>
    <xf numFmtId="0" fontId="72" fillId="0" borderId="0" xfId="0" applyFont="1" applyAlignment="1">
      <alignment horizontal="left" wrapText="1"/>
    </xf>
    <xf numFmtId="0" fontId="13" fillId="6" borderId="0" xfId="0" applyFont="1" applyFill="1" applyAlignment="1">
      <alignment horizontal="left"/>
    </xf>
    <xf numFmtId="0" fontId="34" fillId="0" borderId="0" xfId="0" applyFont="1" applyAlignment="1">
      <alignment horizontal="left"/>
    </xf>
    <xf numFmtId="0" fontId="6" fillId="0" borderId="0" xfId="0" applyFont="1" applyAlignment="1">
      <alignment horizontal="center" vertical="center" wrapText="1"/>
    </xf>
    <xf numFmtId="0" fontId="100" fillId="6" borderId="0" xfId="0" applyFont="1" applyFill="1" applyAlignment="1">
      <alignment horizontal="center"/>
    </xf>
    <xf numFmtId="0" fontId="71" fillId="6" borderId="0" xfId="0" applyFont="1" applyFill="1" applyAlignment="1">
      <alignment horizontal="center"/>
    </xf>
    <xf numFmtId="0" fontId="12" fillId="6" borderId="0" xfId="0" applyFont="1" applyFill="1" applyAlignment="1">
      <alignment horizontal="center"/>
    </xf>
    <xf numFmtId="0" fontId="5" fillId="3" borderId="0" xfId="0" applyFont="1" applyFill="1" applyAlignment="1">
      <alignment horizontal="center"/>
    </xf>
    <xf numFmtId="0" fontId="25" fillId="7" borderId="2" xfId="0" applyFont="1" applyFill="1" applyBorder="1" applyAlignment="1">
      <alignment horizontal="center"/>
    </xf>
    <xf numFmtId="0" fontId="25" fillId="7" borderId="3" xfId="0" applyFont="1" applyFill="1" applyBorder="1" applyAlignment="1">
      <alignment horizontal="center"/>
    </xf>
    <xf numFmtId="0" fontId="25" fillId="7" borderId="4" xfId="0" applyFont="1" applyFill="1" applyBorder="1" applyAlignment="1">
      <alignment horizontal="center"/>
    </xf>
    <xf numFmtId="0" fontId="23" fillId="2" borderId="0" xfId="0" applyFont="1" applyFill="1" applyAlignment="1">
      <alignment horizontal="left"/>
    </xf>
    <xf numFmtId="0" fontId="13" fillId="6" borderId="0" xfId="0" applyFont="1" applyFill="1" applyAlignment="1">
      <alignment horizontal="center"/>
    </xf>
    <xf numFmtId="0" fontId="25" fillId="7" borderId="1" xfId="0" applyFont="1" applyFill="1" applyBorder="1" applyAlignment="1">
      <alignment horizont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5" fillId="3" borderId="0" xfId="0" applyFont="1" applyFill="1" applyAlignment="1">
      <alignment horizontal="center"/>
    </xf>
    <xf numFmtId="0" fontId="2" fillId="0" borderId="0" xfId="0" applyFont="1" applyAlignment="1">
      <alignment horizontal="center" vertical="center" wrapText="1"/>
    </xf>
    <xf numFmtId="0" fontId="5" fillId="2" borderId="11" xfId="0" applyFont="1" applyFill="1" applyBorder="1" applyAlignment="1">
      <alignment horizontal="center" vertical="center"/>
    </xf>
    <xf numFmtId="0" fontId="2" fillId="2" borderId="12" xfId="0" applyFont="1" applyFill="1" applyBorder="1" applyAlignment="1">
      <alignment horizontal="left"/>
    </xf>
    <xf numFmtId="0" fontId="2" fillId="2" borderId="9" xfId="0" applyFont="1" applyFill="1" applyBorder="1" applyAlignment="1">
      <alignment horizontal="left"/>
    </xf>
    <xf numFmtId="0" fontId="13" fillId="2" borderId="0" xfId="0" applyFont="1" applyFill="1" applyAlignment="1">
      <alignment horizontal="center"/>
    </xf>
    <xf numFmtId="0" fontId="59" fillId="6" borderId="0" xfId="0" applyFont="1" applyFill="1" applyAlignment="1">
      <alignment horizontal="center" vertical="center"/>
    </xf>
    <xf numFmtId="0" fontId="23" fillId="2" borderId="1" xfId="0" applyFont="1" applyFill="1" applyBorder="1" applyAlignment="1">
      <alignment horizontal="center" vertical="center" wrapText="1"/>
    </xf>
    <xf numFmtId="0" fontId="13" fillId="6" borderId="0" xfId="0" applyFont="1" applyFill="1" applyAlignment="1">
      <alignment horizontal="center" vertical="center"/>
    </xf>
    <xf numFmtId="49" fontId="62" fillId="0" borderId="14" xfId="0" applyNumberFormat="1" applyFont="1" applyBorder="1" applyAlignment="1" applyProtection="1">
      <alignment horizontal="left" vertical="center" wrapText="1"/>
      <protection locked="0"/>
    </xf>
    <xf numFmtId="49" fontId="62" fillId="0" borderId="15" xfId="0" applyNumberFormat="1" applyFont="1" applyBorder="1" applyAlignment="1" applyProtection="1">
      <alignment horizontal="left" vertical="center" wrapText="1"/>
      <protection locked="0"/>
    </xf>
    <xf numFmtId="49" fontId="62" fillId="0" borderId="16" xfId="0" applyNumberFormat="1" applyFont="1" applyBorder="1" applyAlignment="1" applyProtection="1">
      <alignment horizontal="left" vertical="center" wrapText="1"/>
      <protection locked="0"/>
    </xf>
    <xf numFmtId="49" fontId="62" fillId="0" borderId="14" xfId="0" applyNumberFormat="1" applyFont="1" applyBorder="1" applyAlignment="1">
      <alignment horizontal="left" vertical="center" wrapText="1"/>
    </xf>
    <xf numFmtId="49" fontId="62" fillId="0" borderId="15" xfId="0" applyNumberFormat="1" applyFont="1" applyBorder="1" applyAlignment="1">
      <alignment horizontal="left" vertical="center" wrapText="1"/>
    </xf>
    <xf numFmtId="49" fontId="62" fillId="0" borderId="16" xfId="0" applyNumberFormat="1" applyFont="1" applyBorder="1" applyAlignment="1">
      <alignment horizontal="left" vertical="center" wrapText="1"/>
    </xf>
    <xf numFmtId="49" fontId="65" fillId="0" borderId="0" xfId="0" applyNumberFormat="1" applyFont="1" applyAlignment="1">
      <alignment horizontal="left" vertical="top" wrapText="1"/>
    </xf>
    <xf numFmtId="0" fontId="2" fillId="2" borderId="0" xfId="0" applyFont="1" applyFill="1" applyAlignment="1">
      <alignment horizontal="left"/>
    </xf>
    <xf numFmtId="0" fontId="5" fillId="7" borderId="2" xfId="0" applyFont="1" applyFill="1" applyBorder="1" applyAlignment="1" applyProtection="1">
      <alignment horizontal="left" vertical="center"/>
      <protection locked="0"/>
    </xf>
    <xf numFmtId="0" fontId="5" fillId="7" borderId="3" xfId="0" applyFont="1" applyFill="1" applyBorder="1" applyAlignment="1" applyProtection="1">
      <alignment horizontal="left" vertical="center"/>
      <protection locked="0"/>
    </xf>
    <xf numFmtId="0" fontId="5" fillId="7" borderId="4" xfId="0" applyFont="1" applyFill="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5" xfId="2" applyFont="1" applyBorder="1" applyAlignment="1" applyProtection="1">
      <alignment horizontal="left" vertical="center" wrapText="1" shrinkToFit="1"/>
      <protection locked="0"/>
    </xf>
    <xf numFmtId="0" fontId="14" fillId="0" borderId="7" xfId="2" applyFont="1" applyBorder="1" applyAlignment="1" applyProtection="1">
      <alignment horizontal="left" vertical="center" wrapText="1" shrinkToFit="1"/>
      <protection locked="0"/>
    </xf>
    <xf numFmtId="0" fontId="13" fillId="6" borderId="0" xfId="0" applyFont="1" applyFill="1" applyAlignment="1" applyProtection="1">
      <alignment horizontal="left" vertical="center" wrapText="1"/>
      <protection locked="0"/>
    </xf>
    <xf numFmtId="0" fontId="14" fillId="0" borderId="6" xfId="0" applyFont="1" applyBorder="1" applyAlignment="1" applyProtection="1">
      <alignment horizontal="left" vertical="center"/>
      <protection locked="0"/>
    </xf>
    <xf numFmtId="0" fontId="14" fillId="0" borderId="6" xfId="2" applyFont="1" applyBorder="1" applyAlignment="1" applyProtection="1">
      <alignment horizontal="left" vertical="center" wrapText="1" shrinkToFit="1"/>
      <protection locked="0"/>
    </xf>
    <xf numFmtId="0" fontId="14" fillId="0" borderId="5" xfId="2" applyFont="1" applyBorder="1" applyAlignment="1" applyProtection="1">
      <alignment horizontal="left" vertical="center"/>
      <protection locked="0"/>
    </xf>
    <xf numFmtId="0" fontId="14" fillId="0" borderId="7" xfId="2" applyFont="1" applyBorder="1" applyAlignment="1" applyProtection="1">
      <alignment horizontal="left" vertical="center"/>
      <protection locked="0"/>
    </xf>
    <xf numFmtId="0" fontId="36" fillId="2" borderId="1" xfId="0" applyFont="1" applyFill="1" applyBorder="1" applyAlignment="1" applyProtection="1">
      <alignment horizontal="left" vertical="center"/>
      <protection locked="0"/>
    </xf>
    <xf numFmtId="0" fontId="17" fillId="0" borderId="0" xfId="0" applyFont="1" applyAlignment="1" applyProtection="1">
      <alignment horizontal="left"/>
      <protection locked="0"/>
    </xf>
  </cellXfs>
  <cellStyles count="5">
    <cellStyle name="Neutral 2" xfId="3" xr:uid="{00000000-0005-0000-0000-000000000000}"/>
    <cellStyle name="Normal 2" xfId="2" xr:uid="{00000000-0005-0000-0000-000002000000}"/>
    <cellStyle name="Normal 6" xfId="4" xr:uid="{00B59E30-C666-4993-B8E4-C5C02C27B057}"/>
    <cellStyle name="Parasts" xfId="0" builtinId="0"/>
    <cellStyle name="Procenti" xfId="1" builtinId="5"/>
  </cellStyles>
  <dxfs count="16">
    <dxf>
      <fill>
        <patternFill>
          <bgColor rgb="FFFFFF00"/>
        </patternFill>
      </fill>
    </dxf>
    <dxf>
      <fill>
        <patternFill>
          <bgColor rgb="FFFFFF00"/>
        </patternFill>
      </fill>
    </dxf>
    <dxf>
      <font>
        <color rgb="FFFF0000"/>
      </font>
      <fill>
        <patternFill>
          <bgColor theme="2" tint="-9.9948118533890809E-2"/>
        </patternFill>
      </fill>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4" tint="-0.499984740745262"/>
      </font>
      <fill>
        <patternFill>
          <bgColor theme="8" tint="0.39994506668294322"/>
        </patternFill>
      </fill>
    </dxf>
    <dxf>
      <font>
        <color theme="1" tint="0.1499679555650502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50414223291127E-2"/>
          <c:y val="0.11152777777777778"/>
          <c:w val="0.87129396325459318"/>
          <c:h val="0.76403506853309999"/>
        </c:manualLayout>
      </c:layout>
      <c:lineChart>
        <c:grouping val="standard"/>
        <c:varyColors val="0"/>
        <c:ser>
          <c:idx val="0"/>
          <c:order val="0"/>
          <c:tx>
            <c:strRef>
              <c:f>Tarifs!$B$3</c:f>
              <c:strCache>
                <c:ptCount val="1"/>
                <c:pt idx="0">
                  <c:v>Attīstības scenārijs (bez riskiem)</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Tarifs!$C$3:$V$3</c:f>
              <c:numCache>
                <c:formatCode>0.0</c:formatCode>
                <c:ptCount val="20"/>
                <c:pt idx="0">
                  <c:v>99.575559089732991</c:v>
                </c:pt>
                <c:pt idx="1">
                  <c:v>99.909976999562687</c:v>
                </c:pt>
                <c:pt idx="2">
                  <c:v>100.26784980736444</c:v>
                </c:pt>
                <c:pt idx="3">
                  <c:v>100.64941144453324</c:v>
                </c:pt>
                <c:pt idx="4">
                  <c:v>101.05248523427096</c:v>
                </c:pt>
                <c:pt idx="5">
                  <c:v>101.47966389213801</c:v>
                </c:pt>
                <c:pt idx="6">
                  <c:v>101.931228019797</c:v>
                </c:pt>
                <c:pt idx="7">
                  <c:v>102.4074755009905</c:v>
                </c:pt>
                <c:pt idx="8">
                  <c:v>103.4143216991894</c:v>
                </c:pt>
                <c:pt idx="9">
                  <c:v>103.94197437973497</c:v>
                </c:pt>
                <c:pt idx="10">
                  <c:v>104.49522159734408</c:v>
                </c:pt>
                <c:pt idx="11">
                  <c:v>105.07442665373829</c:v>
                </c:pt>
                <c:pt idx="12">
                  <c:v>105.95222948363153</c:v>
                </c:pt>
                <c:pt idx="13">
                  <c:v>106.85353852601884</c:v>
                </c:pt>
                <c:pt idx="14">
                  <c:v>107.77578424475658</c:v>
                </c:pt>
                <c:pt idx="15">
                  <c:v>108.72236410377332</c:v>
                </c:pt>
                <c:pt idx="16">
                  <c:v>109.6937817395481</c:v>
                </c:pt>
                <c:pt idx="17">
                  <c:v>110.69055845113358</c:v>
                </c:pt>
                <c:pt idx="18">
                  <c:v>113.18696464264883</c:v>
                </c:pt>
                <c:pt idx="19">
                  <c:v>105.13286552549103</c:v>
                </c:pt>
              </c:numCache>
            </c:numRef>
          </c:val>
          <c:smooth val="0"/>
          <c:extLst>
            <c:ext xmlns:c16="http://schemas.microsoft.com/office/drawing/2014/chart" uri="{C3380CC4-5D6E-409C-BE32-E72D297353CC}">
              <c16:uniqueId val="{00000000-7216-4288-B1F3-E53803D9A10F}"/>
            </c:ext>
          </c:extLst>
        </c:ser>
        <c:ser>
          <c:idx val="1"/>
          <c:order val="1"/>
          <c:tx>
            <c:strRef>
              <c:f>Tarifs!$B$4</c:f>
              <c:strCache>
                <c:ptCount val="1"/>
                <c:pt idx="0">
                  <c:v>Attīstības scenārijs (ievieš pašvaldība)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Tarifs!$C$4:$V$4</c:f>
              <c:numCache>
                <c:formatCode>0.0</c:formatCode>
                <c:ptCount val="20"/>
                <c:pt idx="0">
                  <c:v>126.70669611282365</c:v>
                </c:pt>
                <c:pt idx="1">
                  <c:v>127.13223214659364</c:v>
                </c:pt>
                <c:pt idx="2">
                  <c:v>127.58761378361081</c:v>
                </c:pt>
                <c:pt idx="3">
                  <c:v>128.07313869405081</c:v>
                </c:pt>
                <c:pt idx="4">
                  <c:v>128.58603712670052</c:v>
                </c:pt>
                <c:pt idx="5">
                  <c:v>129.12960822871631</c:v>
                </c:pt>
                <c:pt idx="6">
                  <c:v>129.70420905668837</c:v>
                </c:pt>
                <c:pt idx="7">
                  <c:v>130.31021865809774</c:v>
                </c:pt>
                <c:pt idx="8">
                  <c:v>131.59139806028992</c:v>
                </c:pt>
                <c:pt idx="9">
                  <c:v>132.26281912443633</c:v>
                </c:pt>
                <c:pt idx="10">
                  <c:v>132.96680841375274</c:v>
                </c:pt>
                <c:pt idx="11">
                  <c:v>133.70382821799424</c:v>
                </c:pt>
                <c:pt idx="12">
                  <c:v>134.82080408467283</c:v>
                </c:pt>
                <c:pt idx="13">
                  <c:v>135.96769085067726</c:v>
                </c:pt>
                <c:pt idx="14">
                  <c:v>137.14121886391345</c:v>
                </c:pt>
                <c:pt idx="15">
                  <c:v>138.34571128795167</c:v>
                </c:pt>
                <c:pt idx="16">
                  <c:v>139.58180898401213</c:v>
                </c:pt>
                <c:pt idx="17">
                  <c:v>140.85017528837187</c:v>
                </c:pt>
                <c:pt idx="18">
                  <c:v>144.02677187064614</c:v>
                </c:pt>
                <c:pt idx="19">
                  <c:v>133.77818980262444</c:v>
                </c:pt>
              </c:numCache>
            </c:numRef>
          </c:val>
          <c:smooth val="0"/>
          <c:extLst>
            <c:ext xmlns:c16="http://schemas.microsoft.com/office/drawing/2014/chart" uri="{C3380CC4-5D6E-409C-BE32-E72D297353CC}">
              <c16:uniqueId val="{00000001-7216-4288-B1F3-E53803D9A10F}"/>
            </c:ext>
          </c:extLst>
        </c:ser>
        <c:ser>
          <c:idx val="2"/>
          <c:order val="2"/>
          <c:tx>
            <c:strRef>
              <c:f>Tarifs!$B$5</c:f>
              <c:strCache>
                <c:ptCount val="1"/>
                <c:pt idx="0">
                  <c:v>Attīstības scenārijs (koncesijas līgums)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Tarifs!$C$5:$V$5</c:f>
              <c:numCache>
                <c:formatCode>0.0</c:formatCode>
                <c:ptCount val="20"/>
                <c:pt idx="0">
                  <c:v>124.77181043257158</c:v>
                </c:pt>
                <c:pt idx="1">
                  <c:v>125.19084828113566</c:v>
                </c:pt>
                <c:pt idx="2">
                  <c:v>125.63927597305327</c:v>
                </c:pt>
                <c:pt idx="3">
                  <c:v>126.11738663290167</c:v>
                </c:pt>
                <c:pt idx="4">
                  <c:v>126.62245280519572</c:v>
                </c:pt>
                <c:pt idx="5">
                  <c:v>127.1577232571768</c:v>
                </c:pt>
                <c:pt idx="6">
                  <c:v>127.72354959297117</c:v>
                </c:pt>
                <c:pt idx="7">
                  <c:v>128.32030507178214</c:v>
                </c:pt>
                <c:pt idx="8">
                  <c:v>129.58192011190681</c:v>
                </c:pt>
                <c:pt idx="9">
                  <c:v>130.24308818199458</c:v>
                </c:pt>
                <c:pt idx="10">
                  <c:v>130.93632714132258</c:v>
                </c:pt>
                <c:pt idx="11">
                  <c:v>131.66209222020987</c:v>
                </c:pt>
                <c:pt idx="12">
                  <c:v>132.76201120926532</c:v>
                </c:pt>
                <c:pt idx="13">
                  <c:v>133.89138434064358</c:v>
                </c:pt>
                <c:pt idx="14">
                  <c:v>135.04699189175861</c:v>
                </c:pt>
                <c:pt idx="15">
                  <c:v>136.23309100893348</c:v>
                </c:pt>
                <c:pt idx="16">
                  <c:v>137.45031276706112</c:v>
                </c:pt>
                <c:pt idx="17">
                  <c:v>138.69931037288396</c:v>
                </c:pt>
                <c:pt idx="18">
                  <c:v>141.82739845933645</c:v>
                </c:pt>
                <c:pt idx="19">
                  <c:v>131.73531825976099</c:v>
                </c:pt>
              </c:numCache>
            </c:numRef>
          </c:val>
          <c:smooth val="0"/>
          <c:extLst>
            <c:ext xmlns:c16="http://schemas.microsoft.com/office/drawing/2014/chart" uri="{C3380CC4-5D6E-409C-BE32-E72D297353CC}">
              <c16:uniqueId val="{00000002-7216-4288-B1F3-E53803D9A10F}"/>
            </c:ext>
          </c:extLst>
        </c:ser>
        <c:dLbls>
          <c:showLegendKey val="0"/>
          <c:showVal val="0"/>
          <c:showCatName val="0"/>
          <c:showSerName val="0"/>
          <c:showPercent val="0"/>
          <c:showBubbleSize val="0"/>
        </c:dLbls>
        <c:marker val="1"/>
        <c:smooth val="0"/>
        <c:axId val="16630191"/>
        <c:axId val="16626831"/>
      </c:lineChart>
      <c:catAx>
        <c:axId val="1663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lv-LV"/>
          </a:p>
        </c:txPr>
        <c:crossAx val="16626831"/>
        <c:crosses val="autoZero"/>
        <c:auto val="1"/>
        <c:lblAlgn val="ctr"/>
        <c:lblOffset val="100"/>
        <c:noMultiLvlLbl val="0"/>
      </c:catAx>
      <c:valAx>
        <c:axId val="1662683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630191"/>
        <c:crosses val="autoZero"/>
        <c:crossBetween val="between"/>
      </c:valAx>
      <c:spPr>
        <a:noFill/>
        <a:ln>
          <a:noFill/>
        </a:ln>
        <a:effectLst/>
      </c:spPr>
    </c:plotArea>
    <c:legend>
      <c:legendPos val="b"/>
      <c:layout>
        <c:manualLayout>
          <c:xMode val="edge"/>
          <c:yMode val="edge"/>
          <c:x val="0.51458076316806456"/>
          <c:y val="0.61053098954906293"/>
          <c:w val="0.35916616409051605"/>
          <c:h val="0.26389117231378401"/>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50414223291127E-2"/>
          <c:y val="0.10689814814814814"/>
          <c:w val="0.87129396325459318"/>
          <c:h val="0.76403506853309999"/>
        </c:manualLayout>
      </c:layout>
      <c:lineChart>
        <c:grouping val="standard"/>
        <c:varyColors val="0"/>
        <c:ser>
          <c:idx val="1"/>
          <c:order val="0"/>
          <c:tx>
            <c:strRef>
              <c:f>Tarifs!$B$15</c:f>
              <c:strCache>
                <c:ptCount val="1"/>
                <c:pt idx="0">
                  <c:v>Attīstības scenārijs (bez jaunas katlu mājas, ievieš pašvaldība)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Tarifs!$C$15:$V$15</c:f>
              <c:numCache>
                <c:formatCode>0.0</c:formatCode>
                <c:ptCount val="20"/>
                <c:pt idx="0">
                  <c:v>113.10923390880589</c:v>
                </c:pt>
                <c:pt idx="1">
                  <c:v>113.43621823669307</c:v>
                </c:pt>
                <c:pt idx="2">
                  <c:v>113.79225252035062</c:v>
                </c:pt>
                <c:pt idx="3">
                  <c:v>114.17763150425999</c:v>
                </c:pt>
                <c:pt idx="4">
                  <c:v>114.59021824502076</c:v>
                </c:pt>
                <c:pt idx="5">
                  <c:v>115.03269264536934</c:v>
                </c:pt>
                <c:pt idx="6">
                  <c:v>115.50540981414801</c:v>
                </c:pt>
                <c:pt idx="7">
                  <c:v>116.00874705285072</c:v>
                </c:pt>
                <c:pt idx="8">
                  <c:v>117.18856846901801</c:v>
                </c:pt>
                <c:pt idx="9">
                  <c:v>117.7564402780224</c:v>
                </c:pt>
                <c:pt idx="10">
                  <c:v>118.35610824448584</c:v>
                </c:pt>
                <c:pt idx="11">
                  <c:v>118.98803429618955</c:v>
                </c:pt>
                <c:pt idx="12">
                  <c:v>119.99914387947895</c:v>
                </c:pt>
                <c:pt idx="13">
                  <c:v>121.03939200196773</c:v>
                </c:pt>
                <c:pt idx="14">
                  <c:v>122.10624560804057</c:v>
                </c:pt>
                <c:pt idx="15">
                  <c:v>123.2033142528082</c:v>
                </c:pt>
                <c:pt idx="16">
                  <c:v>124.33124035257552</c:v>
                </c:pt>
                <c:pt idx="17">
                  <c:v>125.49068912661569</c:v>
                </c:pt>
                <c:pt idx="18">
                  <c:v>128.56237115970029</c:v>
                </c:pt>
                <c:pt idx="19">
                  <c:v>128.80432751202204</c:v>
                </c:pt>
              </c:numCache>
            </c:numRef>
          </c:val>
          <c:smooth val="0"/>
          <c:extLst>
            <c:ext xmlns:c16="http://schemas.microsoft.com/office/drawing/2014/chart" uri="{C3380CC4-5D6E-409C-BE32-E72D297353CC}">
              <c16:uniqueId val="{00000001-02B9-4E0E-9F1E-6F7F4350653E}"/>
            </c:ext>
          </c:extLst>
        </c:ser>
        <c:ser>
          <c:idx val="2"/>
          <c:order val="1"/>
          <c:tx>
            <c:strRef>
              <c:f>Tarifs!$B$16</c:f>
              <c:strCache>
                <c:ptCount val="1"/>
                <c:pt idx="0">
                  <c:v>Attīstības scenārijs (bez jaunas katlu mājas, koncesijas līgums)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Tarifs!$C$16:$V$16</c:f>
              <c:numCache>
                <c:formatCode>0.0</c:formatCode>
                <c:ptCount val="20"/>
                <c:pt idx="0">
                  <c:v>111.38198946389072</c:v>
                </c:pt>
                <c:pt idx="1">
                  <c:v>111.70398054901247</c:v>
                </c:pt>
                <c:pt idx="2">
                  <c:v>112.05457798001537</c:v>
                </c:pt>
                <c:pt idx="3">
                  <c:v>112.43407200045941</c:v>
                </c:pt>
                <c:pt idx="4">
                  <c:v>112.84035829932519</c:v>
                </c:pt>
                <c:pt idx="5">
                  <c:v>113.2760758556602</c:v>
                </c:pt>
                <c:pt idx="6">
                  <c:v>113.74157435558602</c:v>
                </c:pt>
                <c:pt idx="7">
                  <c:v>114.23722533898112</c:v>
                </c:pt>
                <c:pt idx="8">
                  <c:v>115.39903018906764</c:v>
                </c:pt>
                <c:pt idx="9">
                  <c:v>115.95823026196678</c:v>
                </c:pt>
                <c:pt idx="10">
                  <c:v>116.54874094632265</c:v>
                </c:pt>
                <c:pt idx="11">
                  <c:v>117.17101711600806</c:v>
                </c:pt>
                <c:pt idx="12">
                  <c:v>118.16668646201011</c:v>
                </c:pt>
                <c:pt idx="13">
                  <c:v>119.19104938460133</c:v>
                </c:pt>
                <c:pt idx="14">
                  <c:v>120.24161150941356</c:v>
                </c:pt>
                <c:pt idx="15">
                  <c:v>121.32192727153064</c:v>
                </c:pt>
                <c:pt idx="16">
                  <c:v>122.4326292771832</c:v>
                </c:pt>
                <c:pt idx="17">
                  <c:v>123.57437258735524</c:v>
                </c:pt>
                <c:pt idx="18">
                  <c:v>126.59914823141357</c:v>
                </c:pt>
                <c:pt idx="19">
                  <c:v>126.83740976810432</c:v>
                </c:pt>
              </c:numCache>
            </c:numRef>
          </c:val>
          <c:smooth val="0"/>
          <c:extLst>
            <c:ext xmlns:c16="http://schemas.microsoft.com/office/drawing/2014/chart" uri="{C3380CC4-5D6E-409C-BE32-E72D297353CC}">
              <c16:uniqueId val="{00000002-02B9-4E0E-9F1E-6F7F4350653E}"/>
            </c:ext>
          </c:extLst>
        </c:ser>
        <c:ser>
          <c:idx val="3"/>
          <c:order val="2"/>
          <c:tx>
            <c:strRef>
              <c:f>Tarifs!$B$14</c:f>
              <c:strCache>
                <c:ptCount val="1"/>
                <c:pt idx="0">
                  <c:v>Attīstības scenārijs (bez jaunas katlu mājas, bez riskiem)</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Tarifs!$C$14:$V$14</c:f>
              <c:numCache>
                <c:formatCode>0.0</c:formatCode>
                <c:ptCount val="20"/>
                <c:pt idx="0">
                  <c:v>88.889660532635745</c:v>
                </c:pt>
                <c:pt idx="1">
                  <c:v>89.146629171719795</c:v>
                </c:pt>
                <c:pt idx="2">
                  <c:v>89.426427429727752</c:v>
                </c:pt>
                <c:pt idx="3">
                  <c:v>89.729286938826164</c:v>
                </c:pt>
                <c:pt idx="4">
                  <c:v>90.053528329728508</c:v>
                </c:pt>
                <c:pt idx="5">
                  <c:v>90.401257669607844</c:v>
                </c:pt>
                <c:pt idx="6">
                  <c:v>90.772754029441415</c:v>
                </c:pt>
                <c:pt idx="7">
                  <c:v>91.168313920845051</c:v>
                </c:pt>
                <c:pt idx="8">
                  <c:v>92.095505464347156</c:v>
                </c:pt>
                <c:pt idx="9">
                  <c:v>92.541781427715037</c:v>
                </c:pt>
                <c:pt idx="10">
                  <c:v>93.013045179834563</c:v>
                </c:pt>
                <c:pt idx="11">
                  <c:v>93.509659737961258</c:v>
                </c:pt>
                <c:pt idx="12">
                  <c:v>94.304264957304824</c:v>
                </c:pt>
                <c:pt idx="13">
                  <c:v>95.121769411028666</c:v>
                </c:pt>
                <c:pt idx="14">
                  <c:v>95.960182435364871</c:v>
                </c:pt>
                <c:pt idx="15">
                  <c:v>96.822340687563937</c:v>
                </c:pt>
                <c:pt idx="16">
                  <c:v>97.708749026206334</c:v>
                </c:pt>
                <c:pt idx="17">
                  <c:v>98.619930230143297</c:v>
                </c:pt>
                <c:pt idx="18">
                  <c:v>101.03388675472928</c:v>
                </c:pt>
                <c:pt idx="19">
                  <c:v>101.22403407761659</c:v>
                </c:pt>
              </c:numCache>
            </c:numRef>
          </c:val>
          <c:smooth val="0"/>
          <c:extLst>
            <c:ext xmlns:c16="http://schemas.microsoft.com/office/drawing/2014/chart" uri="{C3380CC4-5D6E-409C-BE32-E72D297353CC}">
              <c16:uniqueId val="{00000003-02B9-4E0E-9F1E-6F7F4350653E}"/>
            </c:ext>
          </c:extLst>
        </c:ser>
        <c:dLbls>
          <c:showLegendKey val="0"/>
          <c:showVal val="0"/>
          <c:showCatName val="0"/>
          <c:showSerName val="0"/>
          <c:showPercent val="0"/>
          <c:showBubbleSize val="0"/>
        </c:dLbls>
        <c:marker val="1"/>
        <c:smooth val="0"/>
        <c:axId val="16630191"/>
        <c:axId val="16626831"/>
      </c:lineChart>
      <c:catAx>
        <c:axId val="1663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lv-LV"/>
          </a:p>
        </c:txPr>
        <c:crossAx val="16626831"/>
        <c:crosses val="autoZero"/>
        <c:auto val="1"/>
        <c:lblAlgn val="ctr"/>
        <c:lblOffset val="100"/>
        <c:noMultiLvlLbl val="0"/>
      </c:catAx>
      <c:valAx>
        <c:axId val="16626831"/>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630191"/>
        <c:crosses val="autoZero"/>
        <c:crossBetween val="between"/>
      </c:valAx>
      <c:spPr>
        <a:noFill/>
        <a:ln>
          <a:noFill/>
        </a:ln>
        <a:effectLst/>
      </c:spPr>
    </c:plotArea>
    <c:legend>
      <c:legendPos val="b"/>
      <c:layout>
        <c:manualLayout>
          <c:xMode val="edge"/>
          <c:yMode val="edge"/>
          <c:x val="0.43204106687348531"/>
          <c:y val="0.55497541374140191"/>
          <c:w val="0.54964238630877582"/>
          <c:h val="0.29629859153491966"/>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50414223291127E-2"/>
          <c:y val="0.11152777777777778"/>
          <c:w val="0.87129396325459318"/>
          <c:h val="0.76403506853309999"/>
        </c:manualLayout>
      </c:layout>
      <c:lineChart>
        <c:grouping val="standard"/>
        <c:varyColors val="0"/>
        <c:ser>
          <c:idx val="0"/>
          <c:order val="0"/>
          <c:tx>
            <c:strRef>
              <c:f>Tarifs!$B$9</c:f>
              <c:strCache>
                <c:ptCount val="1"/>
                <c:pt idx="0">
                  <c:v>Attīstības scenārijs (bez riskiem)</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Tarifs!$C$9:$V$9</c:f>
              <c:numCache>
                <c:formatCode>0.0</c:formatCode>
                <c:ptCount val="20"/>
                <c:pt idx="0">
                  <c:v>89.653527006132109</c:v>
                </c:pt>
                <c:pt idx="1">
                  <c:v>89.916260675204811</c:v>
                </c:pt>
                <c:pt idx="2">
                  <c:v>90.201876956297809</c:v>
                </c:pt>
                <c:pt idx="3">
                  <c:v>90.510607905835357</c:v>
                </c:pt>
                <c:pt idx="4">
                  <c:v>90.840738829047368</c:v>
                </c:pt>
                <c:pt idx="5">
                  <c:v>91.19441087526279</c:v>
                </c:pt>
                <c:pt idx="6">
                  <c:v>91.571903506968724</c:v>
                </c:pt>
                <c:pt idx="7">
                  <c:v>91.973513624328561</c:v>
                </c:pt>
                <c:pt idx="8">
                  <c:v>92.906771766747823</c:v>
                </c:pt>
                <c:pt idx="9">
                  <c:v>93.359167896478297</c:v>
                </c:pt>
                <c:pt idx="10">
                  <c:v>93.836605731663525</c:v>
                </c:pt>
                <c:pt idx="11">
                  <c:v>94.339448633998018</c:v>
                </c:pt>
                <c:pt idx="12">
                  <c:v>95.140336797960714</c:v>
                </c:pt>
                <c:pt idx="13">
                  <c:v>95.96417913045137</c:v>
                </c:pt>
                <c:pt idx="14">
                  <c:v>96.808943738473801</c:v>
                </c:pt>
                <c:pt idx="15">
                  <c:v>97.677507894351621</c:v>
                </c:pt>
                <c:pt idx="16">
                  <c:v>98.570376740719254</c:v>
                </c:pt>
                <c:pt idx="17">
                  <c:v>99.48807333275235</c:v>
                </c:pt>
                <c:pt idx="18">
                  <c:v>101.90860039396436</c:v>
                </c:pt>
                <c:pt idx="19">
                  <c:v>101.51781393892824</c:v>
                </c:pt>
              </c:numCache>
            </c:numRef>
          </c:val>
          <c:smooth val="0"/>
          <c:extLst>
            <c:ext xmlns:c16="http://schemas.microsoft.com/office/drawing/2014/chart" uri="{C3380CC4-5D6E-409C-BE32-E72D297353CC}">
              <c16:uniqueId val="{00000000-6790-4FF7-AB87-CCCBD112B463}"/>
            </c:ext>
          </c:extLst>
        </c:ser>
        <c:ser>
          <c:idx val="1"/>
          <c:order val="1"/>
          <c:tx>
            <c:strRef>
              <c:f>Tarifs!$B$10</c:f>
              <c:strCache>
                <c:ptCount val="1"/>
                <c:pt idx="0">
                  <c:v>Attīstības scenārijs (ievieš pašvaldība)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Tarifs!$C$10:$V$10</c:f>
              <c:numCache>
                <c:formatCode>0.0</c:formatCode>
                <c:ptCount val="20"/>
                <c:pt idx="0">
                  <c:v>114.08122942671062</c:v>
                </c:pt>
                <c:pt idx="1">
                  <c:v>114.41554956982726</c:v>
                </c:pt>
                <c:pt idx="2">
                  <c:v>114.77898710072492</c:v>
                </c:pt>
                <c:pt idx="3">
                  <c:v>115.17183730373934</c:v>
                </c:pt>
                <c:pt idx="4">
                  <c:v>115.59191828492848</c:v>
                </c:pt>
                <c:pt idx="5">
                  <c:v>116.04195458794371</c:v>
                </c:pt>
                <c:pt idx="6">
                  <c:v>116.52230181981103</c:v>
                </c:pt>
                <c:pt idx="7">
                  <c:v>117.03333777643863</c:v>
                </c:pt>
                <c:pt idx="8">
                  <c:v>118.22087874459702</c:v>
                </c:pt>
                <c:pt idx="9">
                  <c:v>118.79653826844381</c:v>
                </c:pt>
                <c:pt idx="10">
                  <c:v>119.40406255702015</c:v>
                </c:pt>
                <c:pt idx="11">
                  <c:v>120.04391397639479</c:v>
                </c:pt>
                <c:pt idx="12">
                  <c:v>121.06301840462233</c:v>
                </c:pt>
                <c:pt idx="13">
                  <c:v>122.1113312739852</c:v>
                </c:pt>
                <c:pt idx="14">
                  <c:v>123.18626706600129</c:v>
                </c:pt>
                <c:pt idx="15">
                  <c:v>124.29148701715546</c:v>
                </c:pt>
                <c:pt idx="16">
                  <c:v>125.42763390520214</c:v>
                </c:pt>
                <c:pt idx="17">
                  <c:v>126.59537330102843</c:v>
                </c:pt>
                <c:pt idx="18">
                  <c:v>129.6754161306296</c:v>
                </c:pt>
                <c:pt idx="19">
                  <c:v>129.17815293616792</c:v>
                </c:pt>
              </c:numCache>
            </c:numRef>
          </c:val>
          <c:smooth val="0"/>
          <c:extLst>
            <c:ext xmlns:c16="http://schemas.microsoft.com/office/drawing/2014/chart" uri="{C3380CC4-5D6E-409C-BE32-E72D297353CC}">
              <c16:uniqueId val="{00000001-6790-4FF7-AB87-CCCBD112B463}"/>
            </c:ext>
          </c:extLst>
        </c:ser>
        <c:ser>
          <c:idx val="2"/>
          <c:order val="2"/>
          <c:tx>
            <c:strRef>
              <c:f>Tarifs!$B$11</c:f>
              <c:strCache>
                <c:ptCount val="1"/>
                <c:pt idx="0">
                  <c:v>Attīstības scenārijs (koncesijas līgums)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Tarifs!$C$2:$V$2</c:f>
              <c:numCache>
                <c:formatCode>General</c:formatCode>
                <c:ptCount val="20"/>
                <c:pt idx="0">
                  <c:v>2029</c:v>
                </c:pt>
                <c:pt idx="1">
                  <c:v>2030</c:v>
                </c:pt>
                <c:pt idx="2">
                  <c:v>2031</c:v>
                </c:pt>
                <c:pt idx="3">
                  <c:v>2032</c:v>
                </c:pt>
                <c:pt idx="4">
                  <c:v>2033</c:v>
                </c:pt>
                <c:pt idx="5">
                  <c:v>2034</c:v>
                </c:pt>
                <c:pt idx="6">
                  <c:v>2035</c:v>
                </c:pt>
                <c:pt idx="7">
                  <c:v>2036</c:v>
                </c:pt>
                <c:pt idx="8">
                  <c:v>2037</c:v>
                </c:pt>
                <c:pt idx="9">
                  <c:v>2038</c:v>
                </c:pt>
                <c:pt idx="10">
                  <c:v>2039</c:v>
                </c:pt>
                <c:pt idx="11">
                  <c:v>2040</c:v>
                </c:pt>
                <c:pt idx="12">
                  <c:v>2041</c:v>
                </c:pt>
                <c:pt idx="13">
                  <c:v>2042</c:v>
                </c:pt>
                <c:pt idx="14" formatCode="0">
                  <c:v>2043</c:v>
                </c:pt>
                <c:pt idx="15" formatCode="0">
                  <c:v>2044</c:v>
                </c:pt>
                <c:pt idx="16" formatCode="0">
                  <c:v>2045</c:v>
                </c:pt>
                <c:pt idx="17" formatCode="0">
                  <c:v>2046</c:v>
                </c:pt>
                <c:pt idx="18" formatCode="0">
                  <c:v>2047</c:v>
                </c:pt>
                <c:pt idx="19" formatCode="0">
                  <c:v>2048</c:v>
                </c:pt>
              </c:numCache>
            </c:numRef>
          </c:cat>
          <c:val>
            <c:numRef>
              <c:f>Tarifs!$C$11:$V$11</c:f>
              <c:numCache>
                <c:formatCode>0.0</c:formatCode>
                <c:ptCount val="20"/>
                <c:pt idx="0">
                  <c:v>112.33914203926312</c:v>
                </c:pt>
                <c:pt idx="1">
                  <c:v>112.66835691740656</c:v>
                </c:pt>
                <c:pt idx="2">
                  <c:v>113.02624454371535</c:v>
                </c:pt>
                <c:pt idx="3">
                  <c:v>113.41309569335994</c:v>
                </c:pt>
                <c:pt idx="4">
                  <c:v>113.82676179120044</c:v>
                </c:pt>
                <c:pt idx="5">
                  <c:v>114.26992577550632</c:v>
                </c:pt>
                <c:pt idx="6">
                  <c:v>114.74293782297535</c:v>
                </c:pt>
                <c:pt idx="7">
                  <c:v>115.24616996035023</c:v>
                </c:pt>
                <c:pt idx="8">
                  <c:v>116.41557648033427</c:v>
                </c:pt>
                <c:pt idx="9">
                  <c:v>116.98244534509548</c:v>
                </c:pt>
                <c:pt idx="10">
                  <c:v>117.58069238091061</c:v>
                </c:pt>
                <c:pt idx="11">
                  <c:v>118.21077289324704</c:v>
                </c:pt>
                <c:pt idx="12">
                  <c:v>119.21431499820865</c:v>
                </c:pt>
                <c:pt idx="13">
                  <c:v>120.24661951425178</c:v>
                </c:pt>
                <c:pt idx="14">
                  <c:v>121.30514040528023</c:v>
                </c:pt>
                <c:pt idx="15">
                  <c:v>122.39348299854706</c:v>
                </c:pt>
                <c:pt idx="16">
                  <c:v>123.51228025621285</c:v>
                </c:pt>
                <c:pt idx="17">
                  <c:v>124.66218758550623</c:v>
                </c:pt>
                <c:pt idx="18">
                  <c:v>127.69519635180697</c:v>
                </c:pt>
                <c:pt idx="19">
                  <c:v>127.20552665842931</c:v>
                </c:pt>
              </c:numCache>
            </c:numRef>
          </c:val>
          <c:smooth val="0"/>
          <c:extLst>
            <c:ext xmlns:c16="http://schemas.microsoft.com/office/drawing/2014/chart" uri="{C3380CC4-5D6E-409C-BE32-E72D297353CC}">
              <c16:uniqueId val="{00000002-6790-4FF7-AB87-CCCBD112B463}"/>
            </c:ext>
          </c:extLst>
        </c:ser>
        <c:dLbls>
          <c:showLegendKey val="0"/>
          <c:showVal val="0"/>
          <c:showCatName val="0"/>
          <c:showSerName val="0"/>
          <c:showPercent val="0"/>
          <c:showBubbleSize val="0"/>
        </c:dLbls>
        <c:marker val="1"/>
        <c:smooth val="0"/>
        <c:axId val="16630191"/>
        <c:axId val="16626831"/>
      </c:lineChart>
      <c:catAx>
        <c:axId val="1663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lv-LV"/>
          </a:p>
        </c:txPr>
        <c:crossAx val="16626831"/>
        <c:crosses val="autoZero"/>
        <c:auto val="1"/>
        <c:lblAlgn val="ctr"/>
        <c:lblOffset val="100"/>
        <c:noMultiLvlLbl val="0"/>
      </c:catAx>
      <c:valAx>
        <c:axId val="16626831"/>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630191"/>
        <c:crosses val="autoZero"/>
        <c:crossBetween val="between"/>
      </c:valAx>
      <c:spPr>
        <a:noFill/>
        <a:ln>
          <a:noFill/>
        </a:ln>
        <a:effectLst/>
      </c:spPr>
    </c:plotArea>
    <c:legend>
      <c:legendPos val="b"/>
      <c:layout>
        <c:manualLayout>
          <c:xMode val="edge"/>
          <c:yMode val="edge"/>
          <c:x val="0.537861190328074"/>
          <c:y val="0.58738283296253757"/>
          <c:w val="0.44805506779237059"/>
          <c:h val="0.27778006626569929"/>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000"/>
              <a:t>milj. EUR</a:t>
            </a:r>
            <a:endParaRPr lang="en-GB" sz="1000"/>
          </a:p>
        </c:rich>
      </c:tx>
      <c:layout>
        <c:manualLayout>
          <c:xMode val="edge"/>
          <c:yMode val="edge"/>
          <c:x val="3.3755754817400788E-3"/>
          <c:y val="1.856733968399703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GB"/>
        </a:p>
      </c:txPr>
    </c:title>
    <c:autoTitleDeleted val="0"/>
    <c:plotArea>
      <c:layout/>
      <c:barChart>
        <c:barDir val="col"/>
        <c:grouping val="clustered"/>
        <c:varyColors val="0"/>
        <c:ser>
          <c:idx val="0"/>
          <c:order val="0"/>
          <c:spPr>
            <a:solidFill>
              <a:schemeClr val="accent6">
                <a:lumMod val="20000"/>
                <a:lumOff val="80000"/>
              </a:schemeClr>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755C-4838-876F-558557E5CD1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755C-4838-876F-558557E5CD14}"/>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IAV!$B$6:$B$10</c:f>
              <c:strCache>
                <c:ptCount val="2"/>
                <c:pt idx="0">
                  <c:v>Bāzes modelis I</c:v>
                </c:pt>
                <c:pt idx="1">
                  <c:v>Koncesijas modelis</c:v>
                </c:pt>
              </c:strCache>
            </c:strRef>
          </c:cat>
          <c:val>
            <c:numRef>
              <c:f>IAV!$H$6:$H$10</c:f>
              <c:numCache>
                <c:formatCode>#,##0.00</c:formatCode>
                <c:ptCount val="2"/>
                <c:pt idx="0">
                  <c:v>56.222236745558085</c:v>
                </c:pt>
                <c:pt idx="1">
                  <c:v>52.772456453968317</c:v>
                </c:pt>
              </c:numCache>
            </c:numRef>
          </c:val>
          <c:extLst>
            <c:ext xmlns:c16="http://schemas.microsoft.com/office/drawing/2014/chart" uri="{C3380CC4-5D6E-409C-BE32-E72D297353CC}">
              <c16:uniqueId val="{00000000-C83A-400D-A229-B739AF1CA01F}"/>
            </c:ext>
          </c:extLst>
        </c:ser>
        <c:dLbls>
          <c:showLegendKey val="0"/>
          <c:showVal val="0"/>
          <c:showCatName val="0"/>
          <c:showSerName val="0"/>
          <c:showPercent val="0"/>
          <c:showBubbleSize val="0"/>
        </c:dLbls>
        <c:gapWidth val="145"/>
        <c:overlap val="-100"/>
        <c:axId val="1599397408"/>
        <c:axId val="1599398656"/>
      </c:barChart>
      <c:catAx>
        <c:axId val="159939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99398656"/>
        <c:crosses val="autoZero"/>
        <c:auto val="1"/>
        <c:lblAlgn val="ctr"/>
        <c:lblOffset val="100"/>
        <c:noMultiLvlLbl val="0"/>
      </c:catAx>
      <c:valAx>
        <c:axId val="15993986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993974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0336832895888"/>
          <c:y val="0.15369568387284924"/>
          <c:w val="0.86364107611548557"/>
          <c:h val="0.68947506561679794"/>
        </c:manualLayout>
      </c:layout>
      <c:barChart>
        <c:barDir val="col"/>
        <c:grouping val="stacked"/>
        <c:varyColors val="0"/>
        <c:ser>
          <c:idx val="0"/>
          <c:order val="0"/>
          <c:tx>
            <c:strRef>
              <c:f>IAV!$F$29</c:f>
              <c:strCache>
                <c:ptCount val="1"/>
                <c:pt idx="0">
                  <c:v>NPV bāzes modelis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IAV!$G$28:$H$28</c:f>
              <c:strCache>
                <c:ptCount val="2"/>
                <c:pt idx="0">
                  <c:v>Bāzes modelis I</c:v>
                </c:pt>
                <c:pt idx="1">
                  <c:v>Koncesijas modelis</c:v>
                </c:pt>
              </c:strCache>
            </c:strRef>
          </c:cat>
          <c:val>
            <c:numRef>
              <c:f>IAV!$G$29:$H$29</c:f>
              <c:numCache>
                <c:formatCode>#,##0.00</c:formatCode>
                <c:ptCount val="2"/>
                <c:pt idx="0">
                  <c:v>32.351196439830701</c:v>
                </c:pt>
              </c:numCache>
            </c:numRef>
          </c:val>
          <c:extLst>
            <c:ext xmlns:c16="http://schemas.microsoft.com/office/drawing/2014/chart" uri="{C3380CC4-5D6E-409C-BE32-E72D297353CC}">
              <c16:uniqueId val="{00000000-C3C3-49F9-B22F-B951C89DF287}"/>
            </c:ext>
          </c:extLst>
        </c:ser>
        <c:ser>
          <c:idx val="1"/>
          <c:order val="1"/>
          <c:tx>
            <c:strRef>
              <c:f>IAV!$F$30</c:f>
              <c:strCache>
                <c:ptCount val="1"/>
                <c:pt idx="0">
                  <c:v>NPV Koncesijas modelis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IAV!$G$28:$H$28</c:f>
              <c:strCache>
                <c:ptCount val="2"/>
                <c:pt idx="0">
                  <c:v>Bāzes modelis I</c:v>
                </c:pt>
                <c:pt idx="1">
                  <c:v>Koncesijas modelis</c:v>
                </c:pt>
              </c:strCache>
            </c:strRef>
          </c:cat>
          <c:val>
            <c:numRef>
              <c:f>IAV!$G$30:$H$30</c:f>
              <c:numCache>
                <c:formatCode>#,##0.00</c:formatCode>
                <c:ptCount val="2"/>
                <c:pt idx="1">
                  <c:v>31.246878333038616</c:v>
                </c:pt>
              </c:numCache>
            </c:numRef>
          </c:val>
          <c:extLst>
            <c:ext xmlns:c16="http://schemas.microsoft.com/office/drawing/2014/chart" uri="{C3380CC4-5D6E-409C-BE32-E72D297353CC}">
              <c16:uniqueId val="{00000001-C3C3-49F9-B22F-B951C89DF287}"/>
            </c:ext>
          </c:extLst>
        </c:ser>
        <c:ser>
          <c:idx val="2"/>
          <c:order val="2"/>
          <c:tx>
            <c:strRef>
              <c:f>IAV!$F$31</c:f>
              <c:strCache>
                <c:ptCount val="1"/>
                <c:pt idx="0">
                  <c:v>IAV</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IAV!$G$28:$H$28</c:f>
              <c:strCache>
                <c:ptCount val="2"/>
                <c:pt idx="0">
                  <c:v>Bāzes modelis I</c:v>
                </c:pt>
                <c:pt idx="1">
                  <c:v>Koncesijas modelis</c:v>
                </c:pt>
              </c:strCache>
            </c:strRef>
          </c:cat>
          <c:val>
            <c:numRef>
              <c:f>IAV!$G$31:$H$31</c:f>
              <c:numCache>
                <c:formatCode>#,##0.00</c:formatCode>
                <c:ptCount val="2"/>
                <c:pt idx="1">
                  <c:v>1.1043181067920855</c:v>
                </c:pt>
              </c:numCache>
            </c:numRef>
          </c:val>
          <c:extLst>
            <c:ext xmlns:c16="http://schemas.microsoft.com/office/drawing/2014/chart" uri="{C3380CC4-5D6E-409C-BE32-E72D297353CC}">
              <c16:uniqueId val="{00000002-C3C3-49F9-B22F-B951C89DF287}"/>
            </c:ext>
          </c:extLst>
        </c:ser>
        <c:dLbls>
          <c:showLegendKey val="0"/>
          <c:showVal val="0"/>
          <c:showCatName val="0"/>
          <c:showSerName val="0"/>
          <c:showPercent val="0"/>
          <c:showBubbleSize val="0"/>
        </c:dLbls>
        <c:gapWidth val="150"/>
        <c:overlap val="100"/>
        <c:axId val="1090108447"/>
        <c:axId val="1090114687"/>
      </c:barChart>
      <c:catAx>
        <c:axId val="1090108447"/>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90114687"/>
        <c:crosses val="autoZero"/>
        <c:auto val="1"/>
        <c:lblAlgn val="ctr"/>
        <c:lblOffset val="100"/>
        <c:noMultiLvlLbl val="0"/>
      </c:catAx>
      <c:valAx>
        <c:axId val="10901146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90108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0336832895888"/>
          <c:y val="0.15369568387284924"/>
          <c:w val="0.86364107611548557"/>
          <c:h val="0.68947506561679794"/>
        </c:manualLayout>
      </c:layout>
      <c:barChart>
        <c:barDir val="col"/>
        <c:grouping val="stacked"/>
        <c:varyColors val="0"/>
        <c:ser>
          <c:idx val="0"/>
          <c:order val="0"/>
          <c:tx>
            <c:strRef>
              <c:f>IAV!$F$29</c:f>
              <c:strCache>
                <c:ptCount val="1"/>
                <c:pt idx="0">
                  <c:v>NPV bāzes modelis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IAV!$G$28:$H$28</c:f>
              <c:strCache>
                <c:ptCount val="2"/>
                <c:pt idx="0">
                  <c:v>Bāzes modelis I</c:v>
                </c:pt>
                <c:pt idx="1">
                  <c:v>Koncesijas modelis</c:v>
                </c:pt>
              </c:strCache>
            </c:strRef>
          </c:cat>
          <c:val>
            <c:numRef>
              <c:f>IAV!$G$29:$H$29</c:f>
              <c:numCache>
                <c:formatCode>#,##0.00</c:formatCode>
                <c:ptCount val="2"/>
                <c:pt idx="0">
                  <c:v>32.351196439830701</c:v>
                </c:pt>
              </c:numCache>
            </c:numRef>
          </c:val>
          <c:extLst>
            <c:ext xmlns:c16="http://schemas.microsoft.com/office/drawing/2014/chart" uri="{C3380CC4-5D6E-409C-BE32-E72D297353CC}">
              <c16:uniqueId val="{00000000-C3C3-49F9-B22F-B951C89DF287}"/>
            </c:ext>
          </c:extLst>
        </c:ser>
        <c:ser>
          <c:idx val="1"/>
          <c:order val="1"/>
          <c:tx>
            <c:strRef>
              <c:f>IAV!$F$30</c:f>
              <c:strCache>
                <c:ptCount val="1"/>
                <c:pt idx="0">
                  <c:v>NPV Koncesijas modelis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IAV!$G$28:$H$28</c:f>
              <c:strCache>
                <c:ptCount val="2"/>
                <c:pt idx="0">
                  <c:v>Bāzes modelis I</c:v>
                </c:pt>
                <c:pt idx="1">
                  <c:v>Koncesijas modelis</c:v>
                </c:pt>
              </c:strCache>
            </c:strRef>
          </c:cat>
          <c:val>
            <c:numRef>
              <c:f>IAV!$G$30:$H$30</c:f>
              <c:numCache>
                <c:formatCode>#,##0.00</c:formatCode>
                <c:ptCount val="2"/>
                <c:pt idx="1">
                  <c:v>31.246878333038616</c:v>
                </c:pt>
              </c:numCache>
            </c:numRef>
          </c:val>
          <c:extLst>
            <c:ext xmlns:c16="http://schemas.microsoft.com/office/drawing/2014/chart" uri="{C3380CC4-5D6E-409C-BE32-E72D297353CC}">
              <c16:uniqueId val="{00000001-C3C3-49F9-B22F-B951C89DF287}"/>
            </c:ext>
          </c:extLst>
        </c:ser>
        <c:ser>
          <c:idx val="2"/>
          <c:order val="2"/>
          <c:tx>
            <c:strRef>
              <c:f>IAV!$F$31</c:f>
              <c:strCache>
                <c:ptCount val="1"/>
                <c:pt idx="0">
                  <c:v>IAV</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IAV!$G$28:$H$28</c:f>
              <c:strCache>
                <c:ptCount val="2"/>
                <c:pt idx="0">
                  <c:v>Bāzes modelis I</c:v>
                </c:pt>
                <c:pt idx="1">
                  <c:v>Koncesijas modelis</c:v>
                </c:pt>
              </c:strCache>
            </c:strRef>
          </c:cat>
          <c:val>
            <c:numRef>
              <c:f>IAV!$G$31:$H$31</c:f>
              <c:numCache>
                <c:formatCode>#,##0.00</c:formatCode>
                <c:ptCount val="2"/>
                <c:pt idx="1">
                  <c:v>1.1043181067920855</c:v>
                </c:pt>
              </c:numCache>
            </c:numRef>
          </c:val>
          <c:extLst>
            <c:ext xmlns:c16="http://schemas.microsoft.com/office/drawing/2014/chart" uri="{C3380CC4-5D6E-409C-BE32-E72D297353CC}">
              <c16:uniqueId val="{00000002-C3C3-49F9-B22F-B951C89DF287}"/>
            </c:ext>
          </c:extLst>
        </c:ser>
        <c:dLbls>
          <c:showLegendKey val="0"/>
          <c:showVal val="0"/>
          <c:showCatName val="0"/>
          <c:showSerName val="0"/>
          <c:showPercent val="0"/>
          <c:showBubbleSize val="0"/>
        </c:dLbls>
        <c:gapWidth val="150"/>
        <c:overlap val="100"/>
        <c:axId val="1090108447"/>
        <c:axId val="1090114687"/>
      </c:barChart>
      <c:catAx>
        <c:axId val="1090108447"/>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90114687"/>
        <c:crosses val="autoZero"/>
        <c:auto val="1"/>
        <c:lblAlgn val="ctr"/>
        <c:lblOffset val="100"/>
        <c:noMultiLvlLbl val="0"/>
      </c:catAx>
      <c:valAx>
        <c:axId val="10901146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90108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19</xdr:col>
      <xdr:colOff>288888</xdr:colOff>
      <xdr:row>63</xdr:row>
      <xdr:rowOff>19210</xdr:rowOff>
    </xdr:from>
    <xdr:to>
      <xdr:col>24</xdr:col>
      <xdr:colOff>627529</xdr:colOff>
      <xdr:row>76</xdr:row>
      <xdr:rowOff>95410</xdr:rowOff>
    </xdr:to>
    <xdr:pic>
      <xdr:nvPicPr>
        <xdr:cNvPr id="2" name="Picture 1">
          <a:extLst>
            <a:ext uri="{FF2B5EF4-FFF2-40B4-BE49-F238E27FC236}">
              <a16:creationId xmlns:a16="http://schemas.microsoft.com/office/drawing/2014/main" id="{898175D0-CA6D-A409-D53E-DFF4EB1EA656}"/>
            </a:ext>
          </a:extLst>
        </xdr:cNvPr>
        <xdr:cNvPicPr>
          <a:picLocks noChangeAspect="1"/>
        </xdr:cNvPicPr>
      </xdr:nvPicPr>
      <xdr:blipFill>
        <a:blip xmlns:r="http://schemas.openxmlformats.org/officeDocument/2006/relationships" r:embed="rId1"/>
        <a:stretch>
          <a:fillRect/>
        </a:stretch>
      </xdr:blipFill>
      <xdr:spPr>
        <a:xfrm>
          <a:off x="14465930" y="5551715"/>
          <a:ext cx="3476288" cy="2074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315685</xdr:colOff>
      <xdr:row>17</xdr:row>
      <xdr:rowOff>65314</xdr:rowOff>
    </xdr:from>
    <xdr:to>
      <xdr:col>6</xdr:col>
      <xdr:colOff>89806</xdr:colOff>
      <xdr:row>32</xdr:row>
      <xdr:rowOff>32656</xdr:rowOff>
    </xdr:to>
    <xdr:graphicFrame macro="">
      <xdr:nvGraphicFramePr>
        <xdr:cNvPr id="2" name="Chart 1">
          <a:extLst>
            <a:ext uri="{FF2B5EF4-FFF2-40B4-BE49-F238E27FC236}">
              <a16:creationId xmlns:a16="http://schemas.microsoft.com/office/drawing/2014/main" id="{0C267A63-6F51-1028-9533-7002CEE2E6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223157</xdr:colOff>
      <xdr:row>17</xdr:row>
      <xdr:rowOff>54430</xdr:rowOff>
    </xdr:from>
    <xdr:to>
      <xdr:col>15</xdr:col>
      <xdr:colOff>345620</xdr:colOff>
      <xdr:row>32</xdr:row>
      <xdr:rowOff>21772</xdr:rowOff>
    </xdr:to>
    <xdr:graphicFrame macro="">
      <xdr:nvGraphicFramePr>
        <xdr:cNvPr id="3" name="Chart 2">
          <a:extLst>
            <a:ext uri="{FF2B5EF4-FFF2-40B4-BE49-F238E27FC236}">
              <a16:creationId xmlns:a16="http://schemas.microsoft.com/office/drawing/2014/main" id="{58D59577-694E-4D8A-B06B-521A0D08C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315685</xdr:colOff>
      <xdr:row>33</xdr:row>
      <xdr:rowOff>5443</xdr:rowOff>
    </xdr:from>
    <xdr:to>
      <xdr:col>6</xdr:col>
      <xdr:colOff>89806</xdr:colOff>
      <xdr:row>47</xdr:row>
      <xdr:rowOff>157842</xdr:rowOff>
    </xdr:to>
    <xdr:graphicFrame macro="">
      <xdr:nvGraphicFramePr>
        <xdr:cNvPr id="4" name="Chart 3">
          <a:extLst>
            <a:ext uri="{FF2B5EF4-FFF2-40B4-BE49-F238E27FC236}">
              <a16:creationId xmlns:a16="http://schemas.microsoft.com/office/drawing/2014/main" id="{3671BA63-041B-48AF-92A2-898F2F86E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0.02177</cdr:x>
      <cdr:y>0.00794</cdr:y>
    </cdr:from>
    <cdr:to>
      <cdr:x>0.12789</cdr:x>
      <cdr:y>0.1131</cdr:y>
    </cdr:to>
    <cdr:sp macro="" textlink="">
      <cdr:nvSpPr>
        <cdr:cNvPr id="2" name="TextBox 1">
          <a:extLst xmlns:a="http://schemas.openxmlformats.org/drawingml/2006/main">
            <a:ext uri="{FF2B5EF4-FFF2-40B4-BE49-F238E27FC236}">
              <a16:creationId xmlns:a16="http://schemas.microsoft.com/office/drawing/2014/main" id="{B9261748-0CB5-C67E-9E03-E3D24C3DA76D}"/>
            </a:ext>
          </a:extLst>
        </cdr:cNvPr>
        <cdr:cNvSpPr txBox="1"/>
      </cdr:nvSpPr>
      <cdr:spPr>
        <a:xfrm xmlns:a="http://schemas.openxmlformats.org/drawingml/2006/main">
          <a:off x="130629" y="21773"/>
          <a:ext cx="636814" cy="2884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v-LV" sz="900" kern="1200">
              <a:solidFill>
                <a:schemeClr val="bg1">
                  <a:lumMod val="50000"/>
                </a:schemeClr>
              </a:solidFill>
            </a:rPr>
            <a:t>EUR/mWh</a:t>
          </a:r>
        </a:p>
      </cdr:txBody>
    </cdr:sp>
  </cdr:relSizeAnchor>
  <cdr:relSizeAnchor xmlns:cdr="http://schemas.openxmlformats.org/drawingml/2006/chartDrawing">
    <cdr:from>
      <cdr:x>0.15964</cdr:x>
      <cdr:y>0.02579</cdr:y>
    </cdr:from>
    <cdr:to>
      <cdr:x>0.5034</cdr:x>
      <cdr:y>0.12698</cdr:y>
    </cdr:to>
    <cdr:sp macro="" textlink="">
      <cdr:nvSpPr>
        <cdr:cNvPr id="3" name="TextBox 2">
          <a:extLst xmlns:a="http://schemas.openxmlformats.org/drawingml/2006/main">
            <a:ext uri="{FF2B5EF4-FFF2-40B4-BE49-F238E27FC236}">
              <a16:creationId xmlns:a16="http://schemas.microsoft.com/office/drawing/2014/main" id="{1C713318-9D6E-A5B2-6806-BA9B3126197D}"/>
            </a:ext>
          </a:extLst>
        </cdr:cNvPr>
        <cdr:cNvSpPr txBox="1"/>
      </cdr:nvSpPr>
      <cdr:spPr>
        <a:xfrm xmlns:a="http://schemas.openxmlformats.org/drawingml/2006/main">
          <a:off x="957942" y="70758"/>
          <a:ext cx="2062843" cy="2775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lv-LV" sz="1100" b="1" kern="1200"/>
        </a:p>
      </cdr:txBody>
    </cdr:sp>
  </cdr:relSizeAnchor>
</c:userShapes>
</file>

<file path=xl/drawings/drawing4.xml><?xml version="1.0" encoding="utf-8"?>
<c:userShapes xmlns:c="http://schemas.openxmlformats.org/drawingml/2006/chart">
  <cdr:relSizeAnchor xmlns:cdr="http://schemas.openxmlformats.org/drawingml/2006/chartDrawing">
    <cdr:from>
      <cdr:x>0.02177</cdr:x>
      <cdr:y>0.00794</cdr:y>
    </cdr:from>
    <cdr:to>
      <cdr:x>0.12789</cdr:x>
      <cdr:y>0.1131</cdr:y>
    </cdr:to>
    <cdr:sp macro="" textlink="">
      <cdr:nvSpPr>
        <cdr:cNvPr id="2" name="TextBox 1">
          <a:extLst xmlns:a="http://schemas.openxmlformats.org/drawingml/2006/main">
            <a:ext uri="{FF2B5EF4-FFF2-40B4-BE49-F238E27FC236}">
              <a16:creationId xmlns:a16="http://schemas.microsoft.com/office/drawing/2014/main" id="{B9261748-0CB5-C67E-9E03-E3D24C3DA76D}"/>
            </a:ext>
          </a:extLst>
        </cdr:cNvPr>
        <cdr:cNvSpPr txBox="1"/>
      </cdr:nvSpPr>
      <cdr:spPr>
        <a:xfrm xmlns:a="http://schemas.openxmlformats.org/drawingml/2006/main">
          <a:off x="130629" y="21773"/>
          <a:ext cx="636814" cy="2884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v-LV" sz="900" kern="1200">
              <a:solidFill>
                <a:schemeClr val="bg1">
                  <a:lumMod val="50000"/>
                </a:schemeClr>
              </a:solidFill>
            </a:rPr>
            <a:t>EUR/mWh</a:t>
          </a:r>
        </a:p>
      </cdr:txBody>
    </cdr:sp>
  </cdr:relSizeAnchor>
</c:userShapes>
</file>

<file path=xl/drawings/drawing5.xml><?xml version="1.0" encoding="utf-8"?>
<c:userShapes xmlns:c="http://schemas.openxmlformats.org/drawingml/2006/chart">
  <cdr:relSizeAnchor xmlns:cdr="http://schemas.openxmlformats.org/drawingml/2006/chartDrawing">
    <cdr:from>
      <cdr:x>0.02177</cdr:x>
      <cdr:y>0.00794</cdr:y>
    </cdr:from>
    <cdr:to>
      <cdr:x>0.12789</cdr:x>
      <cdr:y>0.1131</cdr:y>
    </cdr:to>
    <cdr:sp macro="" textlink="">
      <cdr:nvSpPr>
        <cdr:cNvPr id="2" name="TextBox 1">
          <a:extLst xmlns:a="http://schemas.openxmlformats.org/drawingml/2006/main">
            <a:ext uri="{FF2B5EF4-FFF2-40B4-BE49-F238E27FC236}">
              <a16:creationId xmlns:a16="http://schemas.microsoft.com/office/drawing/2014/main" id="{B9261748-0CB5-C67E-9E03-E3D24C3DA76D}"/>
            </a:ext>
          </a:extLst>
        </cdr:cNvPr>
        <cdr:cNvSpPr txBox="1"/>
      </cdr:nvSpPr>
      <cdr:spPr>
        <a:xfrm xmlns:a="http://schemas.openxmlformats.org/drawingml/2006/main">
          <a:off x="130629" y="21773"/>
          <a:ext cx="636814" cy="2884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v-LV" sz="900" kern="1200">
              <a:solidFill>
                <a:schemeClr val="bg1">
                  <a:lumMod val="50000"/>
                </a:schemeClr>
              </a:solidFill>
            </a:rPr>
            <a:t>EUR/mWh</a:t>
          </a:r>
        </a:p>
      </cdr:txBody>
    </cdr:sp>
  </cdr:relSizeAnchor>
  <cdr:relSizeAnchor xmlns:cdr="http://schemas.openxmlformats.org/drawingml/2006/chartDrawing">
    <cdr:from>
      <cdr:x>0.15964</cdr:x>
      <cdr:y>0.02579</cdr:y>
    </cdr:from>
    <cdr:to>
      <cdr:x>0.5034</cdr:x>
      <cdr:y>0.12698</cdr:y>
    </cdr:to>
    <cdr:sp macro="" textlink="">
      <cdr:nvSpPr>
        <cdr:cNvPr id="3" name="TextBox 2">
          <a:extLst xmlns:a="http://schemas.openxmlformats.org/drawingml/2006/main">
            <a:ext uri="{FF2B5EF4-FFF2-40B4-BE49-F238E27FC236}">
              <a16:creationId xmlns:a16="http://schemas.microsoft.com/office/drawing/2014/main" id="{1C713318-9D6E-A5B2-6806-BA9B3126197D}"/>
            </a:ext>
          </a:extLst>
        </cdr:cNvPr>
        <cdr:cNvSpPr txBox="1"/>
      </cdr:nvSpPr>
      <cdr:spPr>
        <a:xfrm xmlns:a="http://schemas.openxmlformats.org/drawingml/2006/main">
          <a:off x="957942" y="70758"/>
          <a:ext cx="2062843" cy="2775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v-LV" sz="1100" kern="1200">
              <a:solidFill>
                <a:schemeClr val="bg1"/>
              </a:solidFill>
            </a:rPr>
            <a:t>Attīstības scenāriju bez GRENa, ar</a:t>
          </a:r>
          <a:r>
            <a:rPr lang="lv-LV" sz="1100" kern="1200" baseline="0">
              <a:solidFill>
                <a:schemeClr val="bg1"/>
              </a:solidFill>
            </a:rPr>
            <a:t> ES finansējumu 85%</a:t>
          </a: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289289</xdr:colOff>
      <xdr:row>10</xdr:row>
      <xdr:rowOff>99741</xdr:rowOff>
    </xdr:from>
    <xdr:to>
      <xdr:col>7</xdr:col>
      <xdr:colOff>1077687</xdr:colOff>
      <xdr:row>26</xdr:row>
      <xdr:rowOff>27213</xdr:rowOff>
    </xdr:to>
    <xdr:graphicFrame macro="">
      <xdr:nvGraphicFramePr>
        <xdr:cNvPr id="6" name="Chart 5">
          <a:extLst>
            <a:ext uri="{FF2B5EF4-FFF2-40B4-BE49-F238E27FC236}">
              <a16:creationId xmlns:a16="http://schemas.microsoft.com/office/drawing/2014/main" id="{D6FCE40C-F17E-4737-B45D-B9C2E89CED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204107</xdr:colOff>
      <xdr:row>28</xdr:row>
      <xdr:rowOff>19051</xdr:rowOff>
    </xdr:from>
    <xdr:to>
      <xdr:col>7</xdr:col>
      <xdr:colOff>998765</xdr:colOff>
      <xdr:row>45</xdr:row>
      <xdr:rowOff>73480</xdr:rowOff>
    </xdr:to>
    <xdr:graphicFrame macro="">
      <xdr:nvGraphicFramePr>
        <xdr:cNvPr id="3" name="Chart 2">
          <a:extLst>
            <a:ext uri="{FF2B5EF4-FFF2-40B4-BE49-F238E27FC236}">
              <a16:creationId xmlns:a16="http://schemas.microsoft.com/office/drawing/2014/main" id="{34F10B4F-30F5-904D-6B56-E73B0D2A6A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187779</xdr:colOff>
      <xdr:row>28</xdr:row>
      <xdr:rowOff>24494</xdr:rowOff>
    </xdr:from>
    <xdr:to>
      <xdr:col>7</xdr:col>
      <xdr:colOff>982437</xdr:colOff>
      <xdr:row>45</xdr:row>
      <xdr:rowOff>78923</xdr:rowOff>
    </xdr:to>
    <xdr:graphicFrame macro="">
      <xdr:nvGraphicFramePr>
        <xdr:cNvPr id="2" name="Chart 1">
          <a:extLst>
            <a:ext uri="{FF2B5EF4-FFF2-40B4-BE49-F238E27FC236}">
              <a16:creationId xmlns:a16="http://schemas.microsoft.com/office/drawing/2014/main" id="{CBB62BD8-DD29-D393-DE9A-9ADB2DC2B5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0.02877</cdr:y>
    </cdr:from>
    <cdr:to>
      <cdr:x>0.2</cdr:x>
      <cdr:y>0.12004</cdr:y>
    </cdr:to>
    <cdr:sp macro="" textlink="">
      <cdr:nvSpPr>
        <cdr:cNvPr id="2" name="TextBox 1">
          <a:extLst xmlns:a="http://schemas.openxmlformats.org/drawingml/2006/main">
            <a:ext uri="{FF2B5EF4-FFF2-40B4-BE49-F238E27FC236}">
              <a16:creationId xmlns:a16="http://schemas.microsoft.com/office/drawing/2014/main" id="{872F6DFE-CE7E-ECA6-9E1F-B4CF17B44B44}"/>
            </a:ext>
          </a:extLst>
        </cdr:cNvPr>
        <cdr:cNvSpPr txBox="1"/>
      </cdr:nvSpPr>
      <cdr:spPr>
        <a:xfrm xmlns:a="http://schemas.openxmlformats.org/drawingml/2006/main">
          <a:off x="0" y="78915"/>
          <a:ext cx="914400" cy="2503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v-LV" sz="1100">
              <a:latin typeface="Times New Roman" panose="02020603050405020304" pitchFamily="18" charset="0"/>
              <a:cs typeface="Times New Roman" panose="02020603050405020304" pitchFamily="18" charset="0"/>
            </a:rPr>
            <a:t>Milj.</a:t>
          </a:r>
          <a:r>
            <a:rPr lang="lv-LV" sz="1100" baseline="0">
              <a:latin typeface="Times New Roman" panose="02020603050405020304" pitchFamily="18" charset="0"/>
              <a:cs typeface="Times New Roman" panose="02020603050405020304" pitchFamily="18" charset="0"/>
            </a:rPr>
            <a:t> EUR</a:t>
          </a:r>
          <a:endParaRPr lang="en-US" sz="1100">
            <a:latin typeface="Times New Roman" panose="02020603050405020304" pitchFamily="18" charset="0"/>
            <a:cs typeface="Times New Roman" panose="02020603050405020304" pitchFamily="18"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0.02877</cdr:y>
    </cdr:from>
    <cdr:to>
      <cdr:x>0.2</cdr:x>
      <cdr:y>0.12004</cdr:y>
    </cdr:to>
    <cdr:sp macro="" textlink="">
      <cdr:nvSpPr>
        <cdr:cNvPr id="2" name="TextBox 1">
          <a:extLst xmlns:a="http://schemas.openxmlformats.org/drawingml/2006/main">
            <a:ext uri="{FF2B5EF4-FFF2-40B4-BE49-F238E27FC236}">
              <a16:creationId xmlns:a16="http://schemas.microsoft.com/office/drawing/2014/main" id="{872F6DFE-CE7E-ECA6-9E1F-B4CF17B44B44}"/>
            </a:ext>
          </a:extLst>
        </cdr:cNvPr>
        <cdr:cNvSpPr txBox="1"/>
      </cdr:nvSpPr>
      <cdr:spPr>
        <a:xfrm xmlns:a="http://schemas.openxmlformats.org/drawingml/2006/main">
          <a:off x="0" y="78915"/>
          <a:ext cx="914400" cy="2503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v-LV" sz="1100">
              <a:latin typeface="Times New Roman" panose="02020603050405020304" pitchFamily="18" charset="0"/>
              <a:cs typeface="Times New Roman" panose="02020603050405020304" pitchFamily="18" charset="0"/>
            </a:rPr>
            <a:t>Milj.</a:t>
          </a:r>
          <a:r>
            <a:rPr lang="lv-LV" sz="1100" baseline="0">
              <a:latin typeface="Times New Roman" panose="02020603050405020304" pitchFamily="18" charset="0"/>
              <a:cs typeface="Times New Roman" panose="02020603050405020304" pitchFamily="18" charset="0"/>
            </a:rPr>
            <a:t> EUR</a:t>
          </a:r>
          <a:endParaRPr lang="en-US" sz="1100">
            <a:latin typeface="Times New Roman" panose="02020603050405020304" pitchFamily="18" charset="0"/>
            <a:cs typeface="Times New Roman" panose="02020603050405020304" pitchFamily="18" charset="0"/>
          </a:endParaRPr>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7" dT="2025-07-01T10:37:26.47" personId="{00000000-0000-0000-0000-000000000000}" id="{233481B3-67C8-4CEE-9397-011C75B242CF}">
    <text>Arī projekta investīciju gadā būs ienākums par pārdoto siltumu privātajam un pašvaldības sektoram, taču to saņēmējs būs esošais siltumapgādes piegādātājs, t.i. SIA "Gren Gulbene", un šis ienākumus apjoms nav attiecināms uz izvirzīto PPP projektu</text>
  </threadedComment>
  <threadedComment ref="D20" dT="2025-07-01T10:37:26.47" personId="{00000000-0000-0000-0000-000000000000}" id="{2A9E9F30-62B9-4104-994C-3F986B38E306}">
    <text>Arī projekta investīciju gadā būs ienākums par pārdoto siltumu privātajam un pašvaldības sektoram, taču to saņēmējs būs esošais siltumapgādes piegādātājs, t.i. SIA "Gren Gulbene", un šis ienākumus apjoms nav attiecināms uz izvirzīto PPP projektu</text>
  </threadedComment>
  <threadedComment ref="D39" dT="2025-07-01T10:37:26.47" personId="{00000000-0000-0000-0000-000000000000}" id="{1B9069D4-B6E4-4FC3-9501-A65BC952D799}">
    <text>Arī projekta investīciju gadā būs izmaksas siltumapgādes nodrošināšanai, taču tās segs esošais siltumapgādes piegādātājs, t.i. SIA "Gren Gulbene", un šis izmaksu apjoms nav attiecināms uz izvirzīto PPP projektu</text>
  </threadedComment>
</ThreadedComments>
</file>

<file path=xl/threadedComments/threadedComment2.xml><?xml version="1.0" encoding="utf-8"?>
<ThreadedComments xmlns="http://schemas.microsoft.com/office/spreadsheetml/2018/threadedcomments" xmlns:x="http://schemas.openxmlformats.org/spreadsheetml/2006/main">
  <threadedComment ref="C16" dT="2024-12-05T13:25:54.72" personId="{00000000-0000-0000-0000-000000000000}" id="{542B4A8A-3CC0-4F9F-AB59-4876D6F22335}">
    <text>Publiskais katru iegādi veic caur iepirkumu katram gadījumam, privātais var veidot ilgtermiņa sadarbību ar ražotājiem, t.i. visam periodam. Caur iepirkumu iegādes būs dārgākas nekā privātajam bez iepirkuma</text>
  </threadedComment>
  <threadedComment ref="E22" dT="2025-07-01T14:33:46.51" personId="{00000000-0000-0000-0000-000000000000}" id="{4DDB4D97-FA7A-4A70-8097-E2392E40048C}">
    <text>Arī projekta investīciju gadā būs izmaksas siltumapgādes nodrošināšanai, taču tās segs esošais siltumapgādes piegādātājs, t.i. SIA "Gren Gulbene", un šis izmaksu apjoms nav attiecināms uz izvirzīto PPP projektu</text>
  </threadedComment>
  <threadedComment ref="C23" dT="2024-12-05T13:21:42.72" personId="{00000000-0000-0000-0000-000000000000}" id="{09A7FC25-3E99-441D-959A-D997A2CC8D37}">
    <text>Publiskais pērk caur iepirkumu vienai sezonai. Pārsvarā rudenī, kad pieprasījums ir lielāks un cenas augstākas. Nereti tiek izvirzītas nesamērīgas prasības, kas sadārdzina iepirkuma cenas (garantijas, apmaksas termiņi, vienpusējas atkāpšanās iespējas, soda naudas.
Privātais pērk un rezervē lielākus apjomus neatkarīgi no sezonas, var pirkt krājumus vai slēgt līgumus, kad cena ir zemāka, ilgtermiņa sadarbība ar piegādātājiem</text>
  </threadedComment>
  <threadedComment ref="E33" dT="2025-07-01T14:32:32.13" personId="{00000000-0000-0000-0000-000000000000}" id="{A6E4D326-E997-4786-9687-7905D89074FA}">
    <text xml:space="preserve">Arī projekta investīciju gadā būs ienākums par pārdoto siltumu, taču to saņēmējs būs esošais siltumapgādes piegādātājs, t.i. SIA "Gren Gulbene", un šis ienākumus apjoms nav attiecināms uz izvirzīto PPP projektu
</text>
  </threadedComment>
</ThreadedComments>
</file>

<file path=xl/threadedComments/threadedComment3.xml><?xml version="1.0" encoding="utf-8"?>
<ThreadedComments xmlns="http://schemas.microsoft.com/office/spreadsheetml/2018/threadedcomments" xmlns:x="http://schemas.openxmlformats.org/spreadsheetml/2006/main">
  <threadedComment ref="E22" dT="2025-07-01T14:33:57.85" personId="{00000000-0000-0000-0000-000000000000}" id="{2112DE31-2606-4DA7-B50C-B3E6A9E16DE9}">
    <text xml:space="preserve">Arī projekta investīciju gadā būs izmaksas siltumapgādes nodrošināšanai, taču tās segs esošais siltumapgādes piegādātājs, t.i. SIA "Gren Gulbene", un šis izmaksu apjoms nav attiecināms uz izvirzīto PPP projektu
</text>
  </threadedComment>
  <threadedComment ref="E35" dT="2025-07-01T14:33:04.82" personId="{00000000-0000-0000-0000-000000000000}" id="{458A8991-B66B-46F6-A001-9E88DB0247E1}">
    <text xml:space="preserve">Arī projekta investīciju gadā būs ienākums par pārdoto siltumu, taču to saņēmējs būs esošais siltumapgādes piegādātājs, t.i. SIA "Gren Gulbene", un šis ienākumus apjoms nav attiecināms uz izvirzīto PPP projektu
</text>
  </threadedComment>
  <threadedComment ref="E36" dT="2025-07-01T14:33:19.48" personId="{00000000-0000-0000-0000-000000000000}" id="{B81D4D7F-7695-4B82-A4CE-2ACADE53D259}">
    <text xml:space="preserve">Arī projekta investīciju gadā būs ienākums par pārdoto siltumu, taču to saņēmējs būs esošais siltumapgādes piegādātājs, t.i. SIA "Gren Gulbene", un šis ienākumus apjoms nav attiecināms uz izvirzīto PPP projektu
</text>
  </threadedComment>
  <threadedComment ref="E58" dT="2025-07-01T10:39:49.81" personId="{00000000-0000-0000-0000-000000000000}" id="{233F2CD1-D7D3-49D6-AA07-63850908B437}">
    <text>paskaidrot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zoomScaleNormal="100" zoomScaleSheetLayoutView="100" workbookViewId="0">
      <selection activeCell="C16" sqref="C16"/>
    </sheetView>
  </sheetViews>
  <sheetFormatPr defaultColWidth="0" defaultRowHeight="12" zeroHeight="1" x14ac:dyDescent="0.2"/>
  <cols>
    <col min="1" max="1" width="6" style="2" customWidth="1"/>
    <col min="2" max="2" width="3.5703125" style="2" customWidth="1"/>
    <col min="3" max="3" width="22.5703125" style="2" customWidth="1"/>
    <col min="4" max="7" width="8.85546875" style="2" customWidth="1"/>
    <col min="8" max="8" width="3.28515625" style="2" hidden="1" customWidth="1"/>
    <col min="9" max="16384" width="8.85546875" style="2" hidden="1"/>
  </cols>
  <sheetData>
    <row r="1" spans="1:8" x14ac:dyDescent="0.2">
      <c r="A1" s="136" t="s">
        <v>235</v>
      </c>
      <c r="B1" s="1"/>
      <c r="C1" s="1"/>
      <c r="D1" s="1"/>
      <c r="E1" s="1"/>
      <c r="F1" s="1"/>
      <c r="G1" s="1"/>
    </row>
    <row r="2" spans="1:8" x14ac:dyDescent="0.2">
      <c r="A2" s="1"/>
      <c r="B2" s="1"/>
      <c r="C2" s="1"/>
      <c r="D2" s="1"/>
      <c r="E2" s="1"/>
      <c r="F2" s="1"/>
      <c r="G2" s="1"/>
    </row>
    <row r="3" spans="1:8" x14ac:dyDescent="0.2">
      <c r="A3" s="1"/>
      <c r="B3" s="1"/>
      <c r="C3" s="502" t="s">
        <v>0</v>
      </c>
      <c r="D3" s="502"/>
      <c r="E3" s="502"/>
      <c r="F3" s="502"/>
      <c r="G3" s="1"/>
    </row>
    <row r="4" spans="1:8" ht="12" customHeight="1" x14ac:dyDescent="0.2">
      <c r="A4" s="1"/>
      <c r="B4" s="1"/>
      <c r="C4" s="502"/>
      <c r="D4" s="502"/>
      <c r="E4" s="502"/>
      <c r="F4" s="502"/>
      <c r="G4" s="1"/>
    </row>
    <row r="5" spans="1:8" ht="12" customHeight="1" x14ac:dyDescent="0.2">
      <c r="A5" s="1"/>
      <c r="B5" s="1"/>
      <c r="C5" s="502"/>
      <c r="D5" s="502"/>
      <c r="E5" s="502"/>
      <c r="F5" s="502"/>
      <c r="G5" s="1"/>
      <c r="H5" s="2" t="s">
        <v>1</v>
      </c>
    </row>
    <row r="6" spans="1:8" x14ac:dyDescent="0.2">
      <c r="A6" s="1"/>
      <c r="B6" s="1"/>
      <c r="C6" s="3"/>
      <c r="D6" s="3"/>
      <c r="E6" s="3"/>
      <c r="F6" s="3"/>
      <c r="G6" s="1"/>
      <c r="H6" s="2" t="s">
        <v>2</v>
      </c>
    </row>
    <row r="7" spans="1:8" x14ac:dyDescent="0.2">
      <c r="A7" s="1"/>
      <c r="B7" s="1"/>
      <c r="C7" s="1"/>
      <c r="D7" s="1"/>
      <c r="E7" s="1"/>
      <c r="F7" s="1"/>
      <c r="G7" s="1"/>
    </row>
    <row r="8" spans="1:8" x14ac:dyDescent="0.2">
      <c r="A8" s="1"/>
      <c r="B8" s="1"/>
      <c r="C8" s="503" t="s">
        <v>505</v>
      </c>
      <c r="D8" s="503"/>
      <c r="E8" s="503"/>
      <c r="F8" s="503"/>
      <c r="G8" s="1"/>
    </row>
    <row r="9" spans="1:8" x14ac:dyDescent="0.2">
      <c r="A9" s="1"/>
      <c r="B9" s="1"/>
      <c r="C9" s="503"/>
      <c r="D9" s="503"/>
      <c r="E9" s="503"/>
      <c r="F9" s="503"/>
      <c r="G9" s="1"/>
    </row>
    <row r="10" spans="1:8" x14ac:dyDescent="0.2">
      <c r="A10" s="1"/>
      <c r="B10" s="1"/>
      <c r="C10" s="503"/>
      <c r="D10" s="503"/>
      <c r="E10" s="503"/>
      <c r="F10" s="503"/>
      <c r="G10" s="1"/>
    </row>
    <row r="11" spans="1:8" x14ac:dyDescent="0.2">
      <c r="A11" s="1"/>
      <c r="B11" s="1"/>
      <c r="C11" s="503"/>
      <c r="D11" s="503"/>
      <c r="E11" s="503"/>
      <c r="F11" s="503"/>
      <c r="G11" s="1"/>
    </row>
    <row r="12" spans="1:8" x14ac:dyDescent="0.2">
      <c r="A12" s="1"/>
      <c r="B12" s="1"/>
      <c r="C12" s="503"/>
      <c r="D12" s="503"/>
      <c r="E12" s="503"/>
      <c r="F12" s="503"/>
      <c r="G12" s="1"/>
    </row>
    <row r="13" spans="1:8" x14ac:dyDescent="0.2">
      <c r="A13" s="1"/>
      <c r="B13" s="1"/>
      <c r="C13" s="503"/>
      <c r="D13" s="503"/>
      <c r="E13" s="503"/>
      <c r="F13" s="503"/>
      <c r="G13" s="1"/>
    </row>
    <row r="14" spans="1:8" x14ac:dyDescent="0.2">
      <c r="A14" s="1"/>
      <c r="B14" s="1"/>
      <c r="C14" s="503"/>
      <c r="D14" s="503"/>
      <c r="E14" s="503"/>
      <c r="F14" s="503"/>
      <c r="G14" s="1"/>
    </row>
    <row r="15" spans="1:8" x14ac:dyDescent="0.2">
      <c r="A15" s="1"/>
      <c r="B15" s="1"/>
      <c r="C15" s="503"/>
      <c r="D15" s="503"/>
      <c r="E15" s="503"/>
      <c r="F15" s="503"/>
      <c r="G15" s="1"/>
    </row>
    <row r="16" spans="1:8" ht="20.25" x14ac:dyDescent="0.2">
      <c r="A16" s="1"/>
      <c r="B16" s="1"/>
      <c r="C16" s="4"/>
      <c r="D16" s="4"/>
      <c r="E16" s="4"/>
      <c r="F16" s="4"/>
      <c r="G16" s="1"/>
    </row>
    <row r="17" spans="1:7" x14ac:dyDescent="0.2">
      <c r="A17" s="1"/>
      <c r="B17" s="1"/>
      <c r="C17" s="1"/>
      <c r="D17" s="1"/>
      <c r="E17" s="1"/>
      <c r="F17" s="1"/>
      <c r="G17" s="1"/>
    </row>
    <row r="18" spans="1:7" x14ac:dyDescent="0.2">
      <c r="A18" s="1"/>
      <c r="B18" s="1"/>
      <c r="C18" s="5" t="s">
        <v>3</v>
      </c>
      <c r="D18" s="6" t="s">
        <v>4</v>
      </c>
      <c r="E18" s="1"/>
      <c r="F18" s="1"/>
      <c r="G18" s="1"/>
    </row>
    <row r="19" spans="1:7" x14ac:dyDescent="0.2">
      <c r="A19" s="1"/>
      <c r="B19" s="1"/>
      <c r="C19" s="1" t="s">
        <v>236</v>
      </c>
      <c r="D19" s="118" t="s">
        <v>1</v>
      </c>
      <c r="E19" s="1"/>
      <c r="F19" s="1"/>
      <c r="G19" s="1"/>
    </row>
    <row r="20" spans="1:7" x14ac:dyDescent="0.2">
      <c r="A20" s="1"/>
      <c r="B20" s="1"/>
      <c r="C20" s="1" t="s">
        <v>237</v>
      </c>
      <c r="D20" s="118"/>
      <c r="E20" s="1"/>
      <c r="F20" s="1"/>
      <c r="G20" s="1"/>
    </row>
    <row r="21" spans="1:7" x14ac:dyDescent="0.2">
      <c r="A21" s="1"/>
      <c r="B21" s="1"/>
      <c r="C21" s="1" t="s">
        <v>5</v>
      </c>
      <c r="D21" s="118"/>
      <c r="E21" s="1"/>
      <c r="F21" s="1"/>
      <c r="G21" s="1"/>
    </row>
    <row r="22" spans="1:7" x14ac:dyDescent="0.2">
      <c r="A22" s="1"/>
      <c r="B22" s="1"/>
      <c r="C22" s="1" t="s">
        <v>6</v>
      </c>
      <c r="D22" s="118" t="s">
        <v>1</v>
      </c>
      <c r="E22" s="1"/>
      <c r="F22" s="1"/>
      <c r="G22" s="1"/>
    </row>
    <row r="23" spans="1:7" x14ac:dyDescent="0.2">
      <c r="A23" s="1"/>
      <c r="B23" s="1"/>
      <c r="C23" s="1" t="s">
        <v>7</v>
      </c>
      <c r="D23" s="118" t="s">
        <v>2</v>
      </c>
      <c r="E23" s="1"/>
      <c r="F23" s="1"/>
      <c r="G23" s="1"/>
    </row>
    <row r="24" spans="1:7" x14ac:dyDescent="0.2">
      <c r="A24" s="1"/>
      <c r="B24" s="1"/>
      <c r="C24" s="1"/>
      <c r="D24" s="1"/>
      <c r="E24" s="1"/>
      <c r="F24" s="1"/>
      <c r="G24" s="1"/>
    </row>
    <row r="25" spans="1:7" x14ac:dyDescent="0.2">
      <c r="A25" s="1"/>
      <c r="B25" s="1"/>
      <c r="C25" s="1"/>
      <c r="D25" s="1"/>
      <c r="E25" s="1"/>
      <c r="F25" s="1"/>
      <c r="G25" s="1"/>
    </row>
    <row r="26" spans="1:7" x14ac:dyDescent="0.2">
      <c r="A26" s="1"/>
      <c r="B26" s="1"/>
      <c r="C26" s="1"/>
      <c r="D26" s="1"/>
      <c r="E26" s="504" t="s">
        <v>299</v>
      </c>
      <c r="F26" s="504"/>
      <c r="G26" s="1"/>
    </row>
    <row r="27" spans="1:7" x14ac:dyDescent="0.2">
      <c r="A27" s="1"/>
      <c r="B27" s="1"/>
      <c r="C27" s="1"/>
      <c r="D27" s="1"/>
      <c r="E27" s="1"/>
      <c r="F27" s="1"/>
      <c r="G27" s="1"/>
    </row>
    <row r="28" spans="1:7" x14ac:dyDescent="0.2">
      <c r="A28" s="1"/>
      <c r="B28" s="1"/>
      <c r="C28" s="3" t="s">
        <v>8</v>
      </c>
      <c r="D28" s="1"/>
      <c r="E28" s="1"/>
      <c r="F28" s="1"/>
      <c r="G28" s="1"/>
    </row>
    <row r="29" spans="1:7" x14ac:dyDescent="0.2">
      <c r="A29" s="1"/>
      <c r="B29" s="1"/>
      <c r="C29" s="7" t="s">
        <v>9</v>
      </c>
      <c r="D29" s="8"/>
      <c r="E29" s="1"/>
      <c r="F29" s="1"/>
      <c r="G29" s="1"/>
    </row>
    <row r="30" spans="1:7" x14ac:dyDescent="0.2">
      <c r="A30" s="1"/>
      <c r="B30" s="1"/>
      <c r="C30" s="7" t="s">
        <v>10</v>
      </c>
      <c r="D30" s="9"/>
      <c r="E30" s="1"/>
      <c r="F30" s="1"/>
      <c r="G30" s="1"/>
    </row>
    <row r="31" spans="1:7" x14ac:dyDescent="0.2">
      <c r="A31" s="1"/>
      <c r="B31" s="1"/>
      <c r="C31" s="1"/>
      <c r="D31" s="1"/>
      <c r="E31" s="1"/>
      <c r="F31" s="1"/>
      <c r="G31" s="1"/>
    </row>
  </sheetData>
  <mergeCells count="3">
    <mergeCell ref="C3:F5"/>
    <mergeCell ref="C8:F15"/>
    <mergeCell ref="E26:F26"/>
  </mergeCells>
  <conditionalFormatting sqref="D19:D23">
    <cfRule type="cellIs" dxfId="15" priority="1" operator="equal">
      <formula>"Nē"</formula>
    </cfRule>
    <cfRule type="cellIs" dxfId="14" priority="2" operator="equal">
      <formula>"JĀ"</formula>
    </cfRule>
  </conditionalFormatting>
  <dataValidations count="1">
    <dataValidation type="list" allowBlank="1" showInputMessage="1" showErrorMessage="1" sqref="D19:D23" xr:uid="{00000000-0002-0000-0000-000000000000}">
      <formula1>$H$5:$H$6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Z121"/>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
  <cols>
    <col min="1" max="1" width="8.85546875" style="1" customWidth="1"/>
    <col min="2" max="2" width="43.28515625" style="1" bestFit="1" customWidth="1"/>
    <col min="3" max="3" width="3.28515625" style="1" customWidth="1"/>
    <col min="4" max="4" width="12.7109375" style="44" hidden="1" customWidth="1" outlineLevel="1"/>
    <col min="5" max="5" width="10.28515625" style="1" bestFit="1" customWidth="1" collapsed="1"/>
    <col min="6" max="15" width="8.85546875" style="1" customWidth="1"/>
    <col min="16" max="16" width="3.85546875" style="1" customWidth="1"/>
    <col min="17" max="18" width="8.85546875" style="1" customWidth="1"/>
    <col min="19" max="16384" width="8.85546875" style="1" hidden="1"/>
  </cols>
  <sheetData>
    <row r="1" spans="2:26" x14ac:dyDescent="0.2"/>
    <row r="2" spans="2:26" ht="15" x14ac:dyDescent="0.25">
      <c r="B2" s="46" t="s">
        <v>218</v>
      </c>
      <c r="C2" s="46"/>
      <c r="D2" s="94"/>
      <c r="E2" s="521" t="str">
        <f>IF(Titullapa!$D$23="Jā","AIZPILDĪT","NEAIZPILDĪT")</f>
        <v>NEAIZPILDĪT</v>
      </c>
      <c r="F2" s="521"/>
      <c r="G2" s="521"/>
      <c r="H2" s="46"/>
      <c r="I2" s="46"/>
      <c r="J2" s="46"/>
      <c r="K2" s="46"/>
      <c r="L2" s="46"/>
      <c r="M2" s="46"/>
      <c r="N2" s="46"/>
      <c r="O2" s="46"/>
    </row>
    <row r="3" spans="2:26" x14ac:dyDescent="0.2"/>
    <row r="4" spans="2:26" x14ac:dyDescent="0.2"/>
    <row r="5" spans="2:26" x14ac:dyDescent="0.2">
      <c r="B5" s="49" t="s">
        <v>146</v>
      </c>
      <c r="E5" s="58" t="s">
        <v>137</v>
      </c>
    </row>
    <row r="6" spans="2:26" x14ac:dyDescent="0.2">
      <c r="B6" s="49" t="s">
        <v>193</v>
      </c>
      <c r="C6" s="40"/>
      <c r="E6" s="62">
        <f>NPV_Bāze_I!E6</f>
        <v>0.04</v>
      </c>
      <c r="F6" s="40"/>
      <c r="G6" s="40"/>
      <c r="H6" s="40"/>
      <c r="I6" s="40"/>
      <c r="J6" s="40"/>
      <c r="K6" s="40"/>
      <c r="L6" s="40"/>
      <c r="M6" s="40"/>
      <c r="N6" s="40"/>
      <c r="O6" s="40"/>
      <c r="P6" s="40"/>
      <c r="Q6" s="40"/>
      <c r="R6" s="40"/>
      <c r="S6" s="40"/>
      <c r="T6" s="40"/>
      <c r="U6" s="40"/>
      <c r="V6" s="40"/>
      <c r="W6" s="40"/>
      <c r="X6" s="40"/>
      <c r="Y6" s="40"/>
      <c r="Z6" s="40"/>
    </row>
    <row r="7" spans="2:26" x14ac:dyDescent="0.2">
      <c r="B7" s="41"/>
      <c r="C7" s="40"/>
      <c r="E7" s="40"/>
      <c r="F7" s="40"/>
      <c r="G7" s="40"/>
      <c r="H7" s="40"/>
      <c r="I7" s="40"/>
      <c r="J7" s="40"/>
      <c r="K7" s="40"/>
      <c r="L7" s="40"/>
      <c r="M7" s="40"/>
      <c r="N7" s="40"/>
      <c r="O7" s="40"/>
      <c r="P7" s="40"/>
      <c r="Q7" s="40"/>
      <c r="R7" s="40"/>
      <c r="S7" s="40"/>
      <c r="T7" s="40"/>
      <c r="U7" s="40"/>
      <c r="V7" s="40"/>
      <c r="W7" s="40"/>
      <c r="X7" s="40"/>
      <c r="Y7" s="40"/>
      <c r="Z7" s="40"/>
    </row>
    <row r="8" spans="2:26" x14ac:dyDescent="0.2">
      <c r="B8" s="49" t="s">
        <v>169</v>
      </c>
      <c r="C8" s="40"/>
      <c r="E8" s="143">
        <f>Projekts!D4</f>
        <v>2028</v>
      </c>
      <c r="F8" s="143">
        <f>Projekts!E4</f>
        <v>2029</v>
      </c>
      <c r="G8" s="143">
        <f>Projekts!F4</f>
        <v>2030</v>
      </c>
      <c r="H8" s="143">
        <f>Projekts!G4</f>
        <v>2031</v>
      </c>
      <c r="I8" s="143">
        <f>Projekts!H4</f>
        <v>2032</v>
      </c>
      <c r="J8" s="143">
        <f>Projekts!I4</f>
        <v>2033</v>
      </c>
      <c r="K8" s="143">
        <f>Projekts!J4</f>
        <v>2034</v>
      </c>
      <c r="L8" s="143">
        <f>Projekts!K4</f>
        <v>2035</v>
      </c>
      <c r="M8" s="143">
        <f>Projekts!L4</f>
        <v>2036</v>
      </c>
      <c r="N8" s="143">
        <f>Projekts!M4</f>
        <v>2037</v>
      </c>
      <c r="O8" s="60"/>
      <c r="P8" s="40"/>
      <c r="Q8" s="40" t="s">
        <v>191</v>
      </c>
      <c r="R8" s="40"/>
      <c r="S8" s="40"/>
      <c r="T8" s="40"/>
      <c r="U8" s="40"/>
      <c r="V8" s="40"/>
      <c r="W8" s="40"/>
      <c r="X8" s="40"/>
      <c r="Y8" s="40"/>
      <c r="Z8" s="40"/>
    </row>
    <row r="9" spans="2:26" x14ac:dyDescent="0.2">
      <c r="B9" s="49" t="s">
        <v>168</v>
      </c>
      <c r="C9" s="40"/>
      <c r="E9" s="144">
        <f>Projekts!D6</f>
        <v>0</v>
      </c>
      <c r="F9" s="144">
        <f>Projekts!E6</f>
        <v>1</v>
      </c>
      <c r="G9" s="144">
        <f>Projekts!F6</f>
        <v>2</v>
      </c>
      <c r="H9" s="144">
        <f>Projekts!G6</f>
        <v>3</v>
      </c>
      <c r="I9" s="144">
        <f>Projekts!H6</f>
        <v>4</v>
      </c>
      <c r="J9" s="144">
        <f>Projekts!I6</f>
        <v>5</v>
      </c>
      <c r="K9" s="144">
        <f>Projekts!J6</f>
        <v>6</v>
      </c>
      <c r="L9" s="144">
        <f>Projekts!K6</f>
        <v>7</v>
      </c>
      <c r="M9" s="144">
        <f>Projekts!L6</f>
        <v>8</v>
      </c>
      <c r="N9" s="144">
        <f>Projekts!M6</f>
        <v>9</v>
      </c>
      <c r="O9" s="56" t="s">
        <v>111</v>
      </c>
      <c r="P9" s="40"/>
      <c r="Q9" s="40">
        <f>COUNTA(E9:O9)</f>
        <v>11</v>
      </c>
      <c r="R9" s="40"/>
      <c r="S9" s="40"/>
      <c r="T9" s="40"/>
      <c r="U9" s="40"/>
      <c r="V9" s="40"/>
      <c r="W9" s="40"/>
      <c r="X9" s="40"/>
      <c r="Y9" s="40"/>
      <c r="Z9" s="40"/>
    </row>
    <row r="10" spans="2:26" x14ac:dyDescent="0.2">
      <c r="B10" s="49" t="s">
        <v>147</v>
      </c>
      <c r="C10" s="40"/>
      <c r="E10" s="145">
        <f>Projekts!D10</f>
        <v>2.4E-2</v>
      </c>
      <c r="F10" s="145">
        <f>Projekts!E10</f>
        <v>0.02</v>
      </c>
      <c r="G10" s="145">
        <f>Projekts!F10</f>
        <v>0.02</v>
      </c>
      <c r="H10" s="145">
        <f>Projekts!G10</f>
        <v>0.02</v>
      </c>
      <c r="I10" s="145">
        <f>Projekts!H10</f>
        <v>0.02</v>
      </c>
      <c r="J10" s="145">
        <f>Projekts!I10</f>
        <v>0.02</v>
      </c>
      <c r="K10" s="145">
        <f>Projekts!J10</f>
        <v>0.02</v>
      </c>
      <c r="L10" s="145">
        <f>Projekts!K10</f>
        <v>0.02</v>
      </c>
      <c r="M10" s="145">
        <f>Projekts!L10</f>
        <v>0.02</v>
      </c>
      <c r="N10" s="145">
        <f>Projekts!M10</f>
        <v>0.02</v>
      </c>
      <c r="O10" s="61"/>
      <c r="P10" s="40"/>
      <c r="Q10" s="40"/>
      <c r="R10" s="40"/>
      <c r="S10" s="40"/>
      <c r="T10" s="40"/>
      <c r="U10" s="40"/>
      <c r="V10" s="40"/>
      <c r="W10" s="40"/>
      <c r="X10" s="40"/>
      <c r="Y10" s="40"/>
      <c r="Z10" s="40"/>
    </row>
    <row r="11" spans="2:26" x14ac:dyDescent="0.2">
      <c r="B11" s="35"/>
      <c r="C11" s="40"/>
      <c r="E11" s="40"/>
      <c r="F11" s="40"/>
      <c r="G11" s="40"/>
      <c r="H11" s="40"/>
      <c r="I11" s="40"/>
      <c r="J11" s="40"/>
      <c r="K11" s="40"/>
      <c r="L11" s="40"/>
      <c r="M11" s="40"/>
      <c r="N11" s="40"/>
      <c r="O11" s="40"/>
      <c r="P11" s="40"/>
      <c r="Q11" s="40"/>
      <c r="R11" s="40"/>
      <c r="S11" s="40"/>
      <c r="T11" s="40"/>
      <c r="U11" s="40"/>
      <c r="V11" s="40"/>
      <c r="W11" s="40"/>
      <c r="X11" s="40"/>
      <c r="Y11" s="40"/>
      <c r="Z11" s="40"/>
    </row>
    <row r="12" spans="2:26" x14ac:dyDescent="0.2">
      <c r="B12" s="42" t="s">
        <v>195</v>
      </c>
      <c r="C12" s="40"/>
      <c r="D12" s="44" t="s">
        <v>160</v>
      </c>
      <c r="E12" s="40"/>
      <c r="F12" s="40"/>
      <c r="G12" s="40"/>
      <c r="H12" s="40"/>
      <c r="I12" s="40"/>
      <c r="J12" s="40"/>
      <c r="K12" s="40"/>
      <c r="L12" s="40"/>
      <c r="M12" s="40"/>
      <c r="N12" s="40"/>
      <c r="O12" s="40"/>
      <c r="P12" s="40"/>
      <c r="Q12" s="40"/>
      <c r="R12" s="40"/>
      <c r="S12" s="40"/>
      <c r="T12" s="40"/>
      <c r="U12" s="40"/>
      <c r="V12" s="40"/>
      <c r="W12" s="40"/>
      <c r="X12" s="40"/>
      <c r="Y12" s="40"/>
      <c r="Z12" s="40"/>
    </row>
    <row r="13" spans="2:26" x14ac:dyDescent="0.2">
      <c r="B13" s="57" t="s">
        <v>153</v>
      </c>
      <c r="C13" s="40"/>
      <c r="D13" s="44" t="s">
        <v>162</v>
      </c>
      <c r="E13" s="50">
        <f>SUM(E14:E17)</f>
        <v>0</v>
      </c>
      <c r="F13" s="50">
        <f t="shared" ref="F13" si="0">SUM(F14:F17)</f>
        <v>0</v>
      </c>
      <c r="G13" s="50">
        <f t="shared" ref="G13" si="1">SUM(G14:G17)</f>
        <v>0</v>
      </c>
      <c r="H13" s="50">
        <f t="shared" ref="H13" si="2">SUM(H14:H17)</f>
        <v>0</v>
      </c>
      <c r="I13" s="50">
        <f t="shared" ref="I13" si="3">SUM(I14:I17)</f>
        <v>0</v>
      </c>
      <c r="J13" s="50">
        <f t="shared" ref="J13" si="4">SUM(J14:J17)</f>
        <v>0</v>
      </c>
      <c r="K13" s="50">
        <f t="shared" ref="K13" si="5">SUM(K14:K17)</f>
        <v>0</v>
      </c>
      <c r="L13" s="50">
        <f t="shared" ref="L13" si="6">SUM(L14:L17)</f>
        <v>0</v>
      </c>
      <c r="M13" s="50">
        <f t="shared" ref="M13" si="7">SUM(M14:M17)</f>
        <v>0</v>
      </c>
      <c r="N13" s="50">
        <f t="shared" ref="N13" si="8">SUM(N14:N17)</f>
        <v>0</v>
      </c>
      <c r="O13" s="50">
        <f t="shared" ref="O13" si="9">SUM(O14:O17)</f>
        <v>0</v>
      </c>
      <c r="P13" s="45"/>
      <c r="Q13" s="50">
        <f>SUM(E13:O13)</f>
        <v>0</v>
      </c>
      <c r="R13" s="40"/>
      <c r="S13" s="40"/>
      <c r="T13" s="40"/>
      <c r="U13" s="40"/>
      <c r="V13" s="40"/>
      <c r="W13" s="40"/>
      <c r="X13" s="40"/>
      <c r="Y13" s="40"/>
      <c r="Z13" s="40"/>
    </row>
    <row r="14" spans="2:26" x14ac:dyDescent="0.2">
      <c r="B14" s="117" t="s">
        <v>154</v>
      </c>
      <c r="C14" s="40"/>
      <c r="D14" s="44" t="s">
        <v>162</v>
      </c>
      <c r="E14" s="65"/>
      <c r="F14" s="65"/>
      <c r="G14" s="65"/>
      <c r="H14" s="65"/>
      <c r="I14" s="65"/>
      <c r="J14" s="65"/>
      <c r="K14" s="65"/>
      <c r="L14" s="65"/>
      <c r="M14" s="65"/>
      <c r="N14" s="65"/>
      <c r="O14" s="65"/>
      <c r="P14" s="45"/>
      <c r="Q14" s="50">
        <f t="shared" ref="Q14:Q27" si="10">SUM(E14:O14)</f>
        <v>0</v>
      </c>
      <c r="R14" s="40"/>
      <c r="S14" s="40"/>
      <c r="T14" s="40"/>
      <c r="U14" s="40"/>
      <c r="V14" s="40"/>
      <c r="W14" s="40"/>
      <c r="X14" s="40"/>
      <c r="Y14" s="40"/>
      <c r="Z14" s="40"/>
    </row>
    <row r="15" spans="2:26" x14ac:dyDescent="0.2">
      <c r="B15" s="117" t="s">
        <v>155</v>
      </c>
      <c r="C15" s="40"/>
      <c r="D15" s="44" t="s">
        <v>162</v>
      </c>
      <c r="E15" s="65"/>
      <c r="F15" s="65"/>
      <c r="G15" s="65"/>
      <c r="H15" s="65"/>
      <c r="I15" s="65"/>
      <c r="J15" s="65"/>
      <c r="K15" s="65"/>
      <c r="L15" s="65"/>
      <c r="M15" s="65"/>
      <c r="N15" s="65"/>
      <c r="O15" s="65"/>
      <c r="P15" s="45"/>
      <c r="Q15" s="50">
        <f t="shared" si="10"/>
        <v>0</v>
      </c>
      <c r="R15" s="40"/>
      <c r="S15" s="40"/>
      <c r="T15" s="40"/>
      <c r="U15" s="40"/>
      <c r="V15" s="40"/>
      <c r="W15" s="40"/>
      <c r="X15" s="40"/>
      <c r="Y15" s="40"/>
      <c r="Z15" s="40"/>
    </row>
    <row r="16" spans="2:26" x14ac:dyDescent="0.2">
      <c r="B16" s="117" t="s">
        <v>156</v>
      </c>
      <c r="C16" s="40"/>
      <c r="D16" s="44" t="s">
        <v>162</v>
      </c>
      <c r="E16" s="65"/>
      <c r="F16" s="65"/>
      <c r="G16" s="65"/>
      <c r="H16" s="65"/>
      <c r="I16" s="65"/>
      <c r="J16" s="65"/>
      <c r="K16" s="65"/>
      <c r="L16" s="65"/>
      <c r="M16" s="65"/>
      <c r="N16" s="65"/>
      <c r="O16" s="65"/>
      <c r="P16" s="45"/>
      <c r="Q16" s="50">
        <f t="shared" si="10"/>
        <v>0</v>
      </c>
      <c r="R16" s="40"/>
      <c r="S16" s="40"/>
      <c r="T16" s="40"/>
      <c r="U16" s="40"/>
      <c r="V16" s="40"/>
      <c r="W16" s="40"/>
      <c r="X16" s="40"/>
      <c r="Y16" s="40"/>
      <c r="Z16" s="40"/>
    </row>
    <row r="17" spans="2:26" x14ac:dyDescent="0.2">
      <c r="B17" s="51" t="s">
        <v>111</v>
      </c>
      <c r="C17" s="40"/>
      <c r="D17" s="44" t="s">
        <v>162</v>
      </c>
      <c r="E17" s="65"/>
      <c r="F17" s="65"/>
      <c r="G17" s="65"/>
      <c r="H17" s="65"/>
      <c r="I17" s="65"/>
      <c r="J17" s="65"/>
      <c r="K17" s="65"/>
      <c r="L17" s="65"/>
      <c r="M17" s="65"/>
      <c r="N17" s="65"/>
      <c r="O17" s="65"/>
      <c r="P17" s="45"/>
      <c r="Q17" s="50">
        <f t="shared" si="10"/>
        <v>0</v>
      </c>
      <c r="R17" s="40"/>
      <c r="S17" s="40"/>
      <c r="T17" s="40"/>
      <c r="U17" s="40"/>
      <c r="V17" s="40"/>
      <c r="W17" s="40"/>
      <c r="X17" s="40"/>
      <c r="Y17" s="40"/>
      <c r="Z17" s="40"/>
    </row>
    <row r="18" spans="2:26" x14ac:dyDescent="0.2">
      <c r="B18" s="57" t="s">
        <v>199</v>
      </c>
      <c r="C18" s="40"/>
      <c r="E18" s="50">
        <f>SUM(E19:E22)</f>
        <v>0</v>
      </c>
      <c r="F18" s="50">
        <f t="shared" ref="F18:O18" si="11">SUM(F19:F22)</f>
        <v>0</v>
      </c>
      <c r="G18" s="50">
        <f t="shared" si="11"/>
        <v>0</v>
      </c>
      <c r="H18" s="50">
        <f t="shared" si="11"/>
        <v>0</v>
      </c>
      <c r="I18" s="50">
        <f t="shared" si="11"/>
        <v>0</v>
      </c>
      <c r="J18" s="50">
        <f t="shared" si="11"/>
        <v>0</v>
      </c>
      <c r="K18" s="50">
        <f t="shared" si="11"/>
        <v>0</v>
      </c>
      <c r="L18" s="50">
        <f t="shared" si="11"/>
        <v>0</v>
      </c>
      <c r="M18" s="50">
        <f t="shared" si="11"/>
        <v>0</v>
      </c>
      <c r="N18" s="50">
        <f t="shared" si="11"/>
        <v>0</v>
      </c>
      <c r="O18" s="50">
        <f t="shared" si="11"/>
        <v>0</v>
      </c>
      <c r="P18" s="45"/>
      <c r="Q18" s="50">
        <f t="shared" si="10"/>
        <v>0</v>
      </c>
      <c r="R18" s="40"/>
      <c r="S18" s="40"/>
      <c r="T18" s="40"/>
      <c r="U18" s="40"/>
      <c r="V18" s="40"/>
      <c r="W18" s="40"/>
      <c r="X18" s="40"/>
      <c r="Y18" s="40"/>
      <c r="Z18" s="40"/>
    </row>
    <row r="19" spans="2:26" x14ac:dyDescent="0.2">
      <c r="B19" s="117" t="s">
        <v>200</v>
      </c>
      <c r="C19" s="40"/>
      <c r="D19" s="44" t="s">
        <v>161</v>
      </c>
      <c r="E19" s="65"/>
      <c r="F19" s="65"/>
      <c r="G19" s="65"/>
      <c r="H19" s="65"/>
      <c r="I19" s="65"/>
      <c r="J19" s="65"/>
      <c r="K19" s="65"/>
      <c r="L19" s="65"/>
      <c r="M19" s="65"/>
      <c r="N19" s="65"/>
      <c r="O19" s="65"/>
      <c r="P19" s="45"/>
      <c r="Q19" s="50">
        <f t="shared" si="10"/>
        <v>0</v>
      </c>
      <c r="R19" s="40"/>
      <c r="S19" s="40"/>
      <c r="T19" s="40"/>
      <c r="U19" s="40"/>
      <c r="V19" s="40"/>
      <c r="W19" s="40"/>
      <c r="X19" s="40"/>
      <c r="Y19" s="40"/>
      <c r="Z19" s="40"/>
    </row>
    <row r="20" spans="2:26" x14ac:dyDescent="0.2">
      <c r="B20" s="117" t="s">
        <v>201</v>
      </c>
      <c r="C20" s="40"/>
      <c r="D20" s="44" t="s">
        <v>161</v>
      </c>
      <c r="E20" s="65"/>
      <c r="F20" s="65"/>
      <c r="G20" s="65"/>
      <c r="H20" s="65"/>
      <c r="I20" s="65"/>
      <c r="J20" s="65"/>
      <c r="K20" s="65"/>
      <c r="L20" s="65"/>
      <c r="M20" s="65"/>
      <c r="N20" s="65"/>
      <c r="O20" s="65"/>
      <c r="P20" s="45"/>
      <c r="Q20" s="50">
        <f t="shared" si="10"/>
        <v>0</v>
      </c>
      <c r="R20" s="40"/>
      <c r="S20" s="40"/>
      <c r="T20" s="40"/>
      <c r="U20" s="40"/>
      <c r="V20" s="40"/>
      <c r="W20" s="40"/>
      <c r="X20" s="40"/>
      <c r="Y20" s="40"/>
      <c r="Z20" s="40"/>
    </row>
    <row r="21" spans="2:26" x14ac:dyDescent="0.2">
      <c r="B21" s="117" t="s">
        <v>202</v>
      </c>
      <c r="C21" s="40"/>
      <c r="D21" s="44" t="s">
        <v>161</v>
      </c>
      <c r="E21" s="65"/>
      <c r="F21" s="65"/>
      <c r="G21" s="65"/>
      <c r="H21" s="65"/>
      <c r="I21" s="65"/>
      <c r="J21" s="65"/>
      <c r="K21" s="65"/>
      <c r="L21" s="65"/>
      <c r="M21" s="65"/>
      <c r="N21" s="65"/>
      <c r="O21" s="65"/>
      <c r="P21" s="45"/>
      <c r="Q21" s="50">
        <f t="shared" si="10"/>
        <v>0</v>
      </c>
      <c r="R21" s="40"/>
      <c r="S21" s="40"/>
      <c r="T21" s="40"/>
      <c r="U21" s="40"/>
      <c r="V21" s="40"/>
      <c r="W21" s="40"/>
      <c r="X21" s="40"/>
      <c r="Y21" s="40"/>
      <c r="Z21" s="40"/>
    </row>
    <row r="22" spans="2:26" x14ac:dyDescent="0.2">
      <c r="B22" s="51" t="s">
        <v>111</v>
      </c>
      <c r="C22" s="40"/>
      <c r="D22" s="44" t="s">
        <v>161</v>
      </c>
      <c r="E22" s="65"/>
      <c r="F22" s="65"/>
      <c r="G22" s="65"/>
      <c r="H22" s="65"/>
      <c r="I22" s="65"/>
      <c r="J22" s="65"/>
      <c r="K22" s="65"/>
      <c r="L22" s="65"/>
      <c r="M22" s="65"/>
      <c r="N22" s="65"/>
      <c r="O22" s="65"/>
      <c r="P22" s="45"/>
      <c r="Q22" s="50">
        <f t="shared" si="10"/>
        <v>0</v>
      </c>
      <c r="R22" s="40"/>
      <c r="S22" s="40"/>
      <c r="T22" s="40"/>
      <c r="U22" s="40"/>
      <c r="V22" s="40"/>
      <c r="W22" s="40"/>
      <c r="X22" s="40"/>
      <c r="Y22" s="40"/>
      <c r="Z22" s="40"/>
    </row>
    <row r="23" spans="2:26" x14ac:dyDescent="0.2">
      <c r="B23" s="57" t="s">
        <v>203</v>
      </c>
      <c r="C23" s="40"/>
      <c r="E23" s="50">
        <f>SUM(E24:E27)</f>
        <v>0</v>
      </c>
      <c r="F23" s="50">
        <f t="shared" ref="F23" si="12">SUM(F24:F27)</f>
        <v>0</v>
      </c>
      <c r="G23" s="50">
        <f t="shared" ref="G23" si="13">SUM(G24:G27)</f>
        <v>0</v>
      </c>
      <c r="H23" s="50">
        <f t="shared" ref="H23" si="14">SUM(H24:H27)</f>
        <v>0</v>
      </c>
      <c r="I23" s="50">
        <f t="shared" ref="I23" si="15">SUM(I24:I27)</f>
        <v>0</v>
      </c>
      <c r="J23" s="50">
        <f t="shared" ref="J23" si="16">SUM(J24:J27)</f>
        <v>0</v>
      </c>
      <c r="K23" s="50">
        <f t="shared" ref="K23" si="17">SUM(K24:K27)</f>
        <v>0</v>
      </c>
      <c r="L23" s="50">
        <f t="shared" ref="L23" si="18">SUM(L24:L27)</f>
        <v>0</v>
      </c>
      <c r="M23" s="50">
        <f t="shared" ref="M23" si="19">SUM(M24:M27)</f>
        <v>0</v>
      </c>
      <c r="N23" s="50">
        <f t="shared" ref="N23" si="20">SUM(N24:N27)</f>
        <v>0</v>
      </c>
      <c r="O23" s="50">
        <f t="shared" ref="O23" si="21">SUM(O24:O27)</f>
        <v>0</v>
      </c>
      <c r="P23" s="45"/>
      <c r="Q23" s="50">
        <f t="shared" si="10"/>
        <v>0</v>
      </c>
      <c r="R23" s="40"/>
      <c r="S23" s="40"/>
      <c r="T23" s="40"/>
      <c r="U23" s="40"/>
      <c r="V23" s="40"/>
      <c r="W23" s="40"/>
      <c r="X23" s="40"/>
      <c r="Y23" s="40"/>
      <c r="Z23" s="40"/>
    </row>
    <row r="24" spans="2:26" x14ac:dyDescent="0.2">
      <c r="B24" s="117" t="s">
        <v>204</v>
      </c>
      <c r="C24" s="40"/>
      <c r="D24" s="44" t="s">
        <v>161</v>
      </c>
      <c r="E24" s="65"/>
      <c r="F24" s="65"/>
      <c r="G24" s="65"/>
      <c r="H24" s="65"/>
      <c r="I24" s="65"/>
      <c r="J24" s="65"/>
      <c r="K24" s="65"/>
      <c r="L24" s="65"/>
      <c r="M24" s="65"/>
      <c r="N24" s="65"/>
      <c r="O24" s="65"/>
      <c r="P24" s="45"/>
      <c r="Q24" s="50">
        <f t="shared" si="10"/>
        <v>0</v>
      </c>
      <c r="R24" s="40"/>
      <c r="S24" s="40"/>
      <c r="T24" s="40"/>
      <c r="U24" s="40"/>
      <c r="V24" s="40"/>
      <c r="W24" s="40"/>
      <c r="X24" s="40"/>
      <c r="Y24" s="40"/>
      <c r="Z24" s="40"/>
    </row>
    <row r="25" spans="2:26" x14ac:dyDescent="0.2">
      <c r="B25" s="117" t="s">
        <v>205</v>
      </c>
      <c r="C25" s="40"/>
      <c r="D25" s="44" t="s">
        <v>161</v>
      </c>
      <c r="E25" s="65"/>
      <c r="F25" s="65"/>
      <c r="G25" s="65"/>
      <c r="H25" s="65"/>
      <c r="I25" s="65"/>
      <c r="J25" s="65"/>
      <c r="K25" s="65"/>
      <c r="L25" s="65"/>
      <c r="M25" s="65"/>
      <c r="N25" s="65"/>
      <c r="O25" s="65"/>
      <c r="P25" s="45"/>
      <c r="Q25" s="50">
        <f t="shared" si="10"/>
        <v>0</v>
      </c>
      <c r="R25" s="40"/>
      <c r="S25" s="40"/>
      <c r="T25" s="40"/>
      <c r="U25" s="40"/>
      <c r="V25" s="40"/>
      <c r="W25" s="40"/>
      <c r="X25" s="40"/>
      <c r="Y25" s="40"/>
      <c r="Z25" s="40"/>
    </row>
    <row r="26" spans="2:26" x14ac:dyDescent="0.2">
      <c r="B26" s="117" t="s">
        <v>206</v>
      </c>
      <c r="C26" s="40"/>
      <c r="D26" s="44" t="s">
        <v>161</v>
      </c>
      <c r="E26" s="65"/>
      <c r="F26" s="65"/>
      <c r="G26" s="65"/>
      <c r="H26" s="65"/>
      <c r="I26" s="65"/>
      <c r="J26" s="65"/>
      <c r="K26" s="65"/>
      <c r="L26" s="65"/>
      <c r="M26" s="65"/>
      <c r="N26" s="65"/>
      <c r="O26" s="65"/>
      <c r="P26" s="45"/>
      <c r="Q26" s="50">
        <f t="shared" si="10"/>
        <v>0</v>
      </c>
      <c r="R26" s="40"/>
      <c r="S26" s="40"/>
      <c r="T26" s="40"/>
      <c r="U26" s="40"/>
      <c r="V26" s="40"/>
      <c r="W26" s="40"/>
      <c r="X26" s="40"/>
      <c r="Y26" s="40"/>
      <c r="Z26" s="40"/>
    </row>
    <row r="27" spans="2:26" x14ac:dyDescent="0.2">
      <c r="B27" s="51" t="s">
        <v>111</v>
      </c>
      <c r="C27" s="40"/>
      <c r="D27" s="44" t="s">
        <v>161</v>
      </c>
      <c r="E27" s="65"/>
      <c r="F27" s="65"/>
      <c r="G27" s="65"/>
      <c r="H27" s="65"/>
      <c r="I27" s="65"/>
      <c r="J27" s="65"/>
      <c r="K27" s="65"/>
      <c r="L27" s="65"/>
      <c r="M27" s="65"/>
      <c r="N27" s="65"/>
      <c r="O27" s="65"/>
      <c r="P27" s="45"/>
      <c r="Q27" s="50">
        <f t="shared" si="10"/>
        <v>0</v>
      </c>
      <c r="R27" s="40"/>
      <c r="S27" s="40"/>
      <c r="T27" s="40"/>
      <c r="U27" s="40"/>
      <c r="V27" s="40"/>
      <c r="W27" s="40"/>
      <c r="X27" s="40"/>
      <c r="Y27" s="40"/>
      <c r="Z27" s="40"/>
    </row>
    <row r="28" spans="2:26" x14ac:dyDescent="0.2">
      <c r="C28" s="40"/>
      <c r="E28" s="45"/>
      <c r="F28" s="45"/>
      <c r="G28" s="45"/>
      <c r="H28" s="45"/>
      <c r="I28" s="45"/>
      <c r="J28" s="45"/>
      <c r="K28" s="45"/>
      <c r="L28" s="45"/>
      <c r="M28" s="45"/>
      <c r="N28" s="45"/>
      <c r="O28" s="45"/>
      <c r="P28" s="45"/>
      <c r="Q28" s="45"/>
      <c r="R28" s="40"/>
      <c r="S28" s="40"/>
      <c r="T28" s="40"/>
      <c r="U28" s="40"/>
      <c r="V28" s="40"/>
      <c r="W28" s="40"/>
      <c r="X28" s="40"/>
      <c r="Y28" s="40"/>
      <c r="Z28" s="40"/>
    </row>
    <row r="29" spans="2:26" x14ac:dyDescent="0.2">
      <c r="B29" s="57" t="s">
        <v>195</v>
      </c>
      <c r="C29" s="40"/>
      <c r="E29" s="50">
        <f>E13+E18+E23</f>
        <v>0</v>
      </c>
      <c r="F29" s="50">
        <f t="shared" ref="F29:O29" si="22">F13+F18+F23</f>
        <v>0</v>
      </c>
      <c r="G29" s="50">
        <f t="shared" si="22"/>
        <v>0</v>
      </c>
      <c r="H29" s="50">
        <f t="shared" si="22"/>
        <v>0</v>
      </c>
      <c r="I29" s="50">
        <f t="shared" si="22"/>
        <v>0</v>
      </c>
      <c r="J29" s="50">
        <f t="shared" si="22"/>
        <v>0</v>
      </c>
      <c r="K29" s="50">
        <f t="shared" si="22"/>
        <v>0</v>
      </c>
      <c r="L29" s="50">
        <f t="shared" si="22"/>
        <v>0</v>
      </c>
      <c r="M29" s="50">
        <f t="shared" si="22"/>
        <v>0</v>
      </c>
      <c r="N29" s="50">
        <f t="shared" si="22"/>
        <v>0</v>
      </c>
      <c r="O29" s="50">
        <f t="shared" si="22"/>
        <v>0</v>
      </c>
      <c r="P29" s="45"/>
      <c r="Q29" s="50">
        <f>SUM(E29:O29)</f>
        <v>0</v>
      </c>
      <c r="R29" s="40"/>
      <c r="S29" s="40"/>
      <c r="T29" s="40"/>
      <c r="U29" s="40"/>
      <c r="V29" s="40"/>
      <c r="W29" s="40"/>
      <c r="X29" s="40"/>
      <c r="Y29" s="40"/>
      <c r="Z29" s="40"/>
    </row>
    <row r="30" spans="2:26" x14ac:dyDescent="0.2">
      <c r="B30" s="35"/>
      <c r="C30" s="40"/>
      <c r="E30" s="40"/>
      <c r="F30" s="40"/>
      <c r="G30" s="40"/>
      <c r="H30" s="40"/>
      <c r="I30" s="40"/>
      <c r="J30" s="40"/>
      <c r="K30" s="40"/>
      <c r="L30" s="40"/>
      <c r="M30" s="40"/>
      <c r="N30" s="40"/>
      <c r="O30" s="40"/>
      <c r="P30" s="40"/>
      <c r="Q30" s="45"/>
      <c r="R30" s="40"/>
      <c r="S30" s="40"/>
      <c r="T30" s="40"/>
      <c r="U30" s="40"/>
      <c r="V30" s="40"/>
      <c r="W30" s="40"/>
      <c r="X30" s="40"/>
      <c r="Y30" s="40"/>
      <c r="Z30" s="40"/>
    </row>
    <row r="31" spans="2:26" x14ac:dyDescent="0.2">
      <c r="B31" s="42" t="s">
        <v>207</v>
      </c>
      <c r="C31" s="40"/>
      <c r="E31" s="40"/>
      <c r="F31" s="40"/>
      <c r="G31" s="40"/>
      <c r="H31" s="40"/>
      <c r="I31" s="40"/>
      <c r="J31" s="40"/>
      <c r="K31" s="40"/>
      <c r="L31" s="40"/>
      <c r="M31" s="40"/>
      <c r="N31" s="40"/>
      <c r="O31" s="40"/>
      <c r="P31" s="40"/>
      <c r="Q31" s="45"/>
      <c r="R31" s="40"/>
      <c r="S31" s="40"/>
      <c r="T31" s="40"/>
      <c r="U31" s="40"/>
      <c r="V31" s="40"/>
      <c r="W31" s="40"/>
      <c r="X31" s="40"/>
      <c r="Y31" s="40"/>
      <c r="Z31" s="40"/>
    </row>
    <row r="32" spans="2:26" x14ac:dyDescent="0.2">
      <c r="B32" s="51" t="s">
        <v>240</v>
      </c>
      <c r="C32" s="40"/>
      <c r="D32" s="44" t="s">
        <v>210</v>
      </c>
      <c r="E32" s="99"/>
      <c r="F32" s="40"/>
      <c r="G32" s="40"/>
      <c r="H32" s="40"/>
      <c r="I32" s="40"/>
      <c r="J32" s="40"/>
      <c r="K32" s="40"/>
      <c r="L32" s="40"/>
      <c r="M32" s="40"/>
      <c r="N32" s="40"/>
      <c r="O32" s="40"/>
      <c r="P32" s="40"/>
      <c r="Q32" s="45"/>
      <c r="R32" s="40"/>
      <c r="S32" s="40"/>
      <c r="T32" s="40"/>
      <c r="U32" s="40"/>
      <c r="V32" s="40"/>
      <c r="W32" s="40"/>
      <c r="X32" s="40"/>
      <c r="Y32" s="40"/>
      <c r="Z32" s="40"/>
    </row>
    <row r="33" spans="2:26" x14ac:dyDescent="0.2">
      <c r="B33" s="51" t="s">
        <v>241</v>
      </c>
      <c r="C33" s="40"/>
      <c r="D33" s="44" t="s">
        <v>210</v>
      </c>
      <c r="E33" s="99"/>
      <c r="F33" s="40"/>
      <c r="G33" s="40"/>
      <c r="H33" s="40"/>
      <c r="I33" s="40"/>
      <c r="J33" s="40"/>
      <c r="K33" s="40"/>
      <c r="L33" s="40"/>
      <c r="M33" s="40"/>
      <c r="N33" s="40"/>
      <c r="O33" s="40"/>
      <c r="P33" s="40"/>
      <c r="Q33" s="45"/>
      <c r="R33" s="40"/>
      <c r="S33" s="40"/>
      <c r="T33" s="40"/>
      <c r="U33" s="40"/>
      <c r="V33" s="40"/>
      <c r="W33" s="40"/>
      <c r="X33" s="40"/>
      <c r="Y33" s="40"/>
      <c r="Z33" s="40"/>
    </row>
    <row r="34" spans="2:26" s="69" customFormat="1" ht="5.25" x14ac:dyDescent="0.15">
      <c r="B34" s="101"/>
      <c r="C34" s="67"/>
      <c r="D34" s="93"/>
      <c r="E34" s="67"/>
      <c r="F34" s="67"/>
      <c r="G34" s="67"/>
      <c r="H34" s="67"/>
      <c r="I34" s="67"/>
      <c r="J34" s="67"/>
      <c r="K34" s="67"/>
      <c r="L34" s="67"/>
      <c r="M34" s="67"/>
      <c r="N34" s="67"/>
      <c r="O34" s="67"/>
      <c r="P34" s="67"/>
      <c r="Q34" s="79"/>
      <c r="R34" s="67"/>
      <c r="S34" s="67"/>
      <c r="T34" s="67"/>
      <c r="U34" s="67"/>
      <c r="V34" s="67"/>
      <c r="W34" s="67"/>
      <c r="X34" s="67"/>
      <c r="Y34" s="67"/>
      <c r="Z34" s="67"/>
    </row>
    <row r="35" spans="2:26" x14ac:dyDescent="0.2">
      <c r="B35" s="96"/>
      <c r="C35" s="72"/>
      <c r="D35" s="95"/>
      <c r="E35" s="72"/>
      <c r="F35" s="72"/>
      <c r="G35" s="72"/>
      <c r="H35" s="72"/>
      <c r="I35" s="72"/>
      <c r="J35" s="72"/>
      <c r="K35" s="72"/>
      <c r="L35" s="72"/>
      <c r="M35" s="72"/>
      <c r="N35" s="72"/>
      <c r="O35" s="72"/>
      <c r="P35" s="40"/>
      <c r="Q35" s="45"/>
      <c r="R35" s="40"/>
      <c r="S35" s="40"/>
      <c r="T35" s="40"/>
      <c r="U35" s="40"/>
      <c r="V35" s="40"/>
      <c r="W35" s="40"/>
      <c r="X35" s="40"/>
      <c r="Y35" s="40"/>
      <c r="Z35" s="40"/>
    </row>
    <row r="36" spans="2:26" s="69" customFormat="1" ht="5.25" x14ac:dyDescent="0.15">
      <c r="B36" s="101"/>
      <c r="C36" s="67"/>
      <c r="D36" s="93"/>
      <c r="E36" s="67"/>
      <c r="F36" s="67"/>
      <c r="G36" s="67"/>
      <c r="H36" s="67"/>
      <c r="I36" s="67"/>
      <c r="J36" s="67"/>
      <c r="K36" s="67"/>
      <c r="L36" s="67"/>
      <c r="M36" s="67"/>
      <c r="N36" s="67"/>
      <c r="O36" s="67"/>
      <c r="P36" s="67"/>
      <c r="Q36" s="79"/>
      <c r="R36" s="67"/>
      <c r="S36" s="67"/>
      <c r="T36" s="67"/>
      <c r="U36" s="67"/>
      <c r="V36" s="67"/>
      <c r="W36" s="67"/>
      <c r="X36" s="67"/>
      <c r="Y36" s="67"/>
      <c r="Z36" s="67"/>
    </row>
    <row r="37" spans="2:26" x14ac:dyDescent="0.2">
      <c r="B37" s="42" t="s">
        <v>211</v>
      </c>
      <c r="C37" s="40"/>
      <c r="E37" s="40"/>
      <c r="F37" s="40"/>
      <c r="G37" s="40"/>
      <c r="H37" s="40"/>
      <c r="I37" s="40"/>
      <c r="J37" s="40"/>
      <c r="K37" s="40"/>
      <c r="L37" s="40"/>
      <c r="M37" s="40"/>
      <c r="N37" s="40"/>
      <c r="O37" s="40"/>
      <c r="P37" s="40"/>
      <c r="Q37" s="45"/>
      <c r="R37" s="40"/>
      <c r="S37" s="40"/>
      <c r="T37" s="40"/>
      <c r="U37" s="40"/>
      <c r="V37" s="40"/>
      <c r="W37" s="40"/>
      <c r="X37" s="40"/>
      <c r="Y37" s="40"/>
      <c r="Z37" s="40"/>
    </row>
    <row r="38" spans="2:26" x14ac:dyDescent="0.2">
      <c r="B38" s="57" t="s">
        <v>149</v>
      </c>
      <c r="C38" s="40"/>
      <c r="E38" s="50">
        <f>SUM(E39:E42)</f>
        <v>0</v>
      </c>
      <c r="F38" s="50">
        <f t="shared" ref="F38:O38" si="23">SUM(F39:F42)</f>
        <v>0</v>
      </c>
      <c r="G38" s="50">
        <f t="shared" si="23"/>
        <v>0</v>
      </c>
      <c r="H38" s="50">
        <f t="shared" si="23"/>
        <v>0</v>
      </c>
      <c r="I38" s="50">
        <f t="shared" si="23"/>
        <v>0</v>
      </c>
      <c r="J38" s="50">
        <f t="shared" si="23"/>
        <v>0</v>
      </c>
      <c r="K38" s="50">
        <f t="shared" si="23"/>
        <v>0</v>
      </c>
      <c r="L38" s="50">
        <f t="shared" si="23"/>
        <v>0</v>
      </c>
      <c r="M38" s="50">
        <f t="shared" si="23"/>
        <v>0</v>
      </c>
      <c r="N38" s="50">
        <f t="shared" si="23"/>
        <v>0</v>
      </c>
      <c r="O38" s="50">
        <f t="shared" si="23"/>
        <v>0</v>
      </c>
      <c r="P38" s="45"/>
      <c r="Q38" s="50">
        <f>SUM(E38:O38)</f>
        <v>0</v>
      </c>
      <c r="R38" s="40"/>
      <c r="S38" s="40"/>
      <c r="T38" s="40"/>
      <c r="U38" s="40"/>
      <c r="V38" s="40"/>
      <c r="W38" s="40"/>
      <c r="X38" s="40"/>
      <c r="Y38" s="40"/>
      <c r="Z38" s="40"/>
    </row>
    <row r="39" spans="2:26" x14ac:dyDescent="0.2">
      <c r="B39" s="76" t="s">
        <v>177</v>
      </c>
      <c r="C39" s="40"/>
      <c r="D39" s="44" t="s">
        <v>161</v>
      </c>
      <c r="E39" s="65"/>
      <c r="F39" s="65"/>
      <c r="G39" s="65"/>
      <c r="H39" s="65"/>
      <c r="I39" s="65"/>
      <c r="J39" s="65"/>
      <c r="K39" s="65"/>
      <c r="L39" s="65"/>
      <c r="M39" s="65"/>
      <c r="N39" s="65"/>
      <c r="O39" s="65"/>
      <c r="P39" s="45"/>
      <c r="Q39" s="50">
        <f>SUM(E39:O39)</f>
        <v>0</v>
      </c>
      <c r="R39" s="40"/>
      <c r="S39" s="40"/>
      <c r="T39" s="40"/>
      <c r="U39" s="40"/>
      <c r="V39" s="40"/>
      <c r="W39" s="40"/>
      <c r="X39" s="40"/>
      <c r="Y39" s="40"/>
      <c r="Z39" s="40"/>
    </row>
    <row r="40" spans="2:26" x14ac:dyDescent="0.2">
      <c r="B40" s="76" t="s">
        <v>178</v>
      </c>
      <c r="C40" s="40"/>
      <c r="D40" s="44" t="s">
        <v>161</v>
      </c>
      <c r="E40" s="65"/>
      <c r="F40" s="65"/>
      <c r="G40" s="65"/>
      <c r="H40" s="65"/>
      <c r="I40" s="65"/>
      <c r="J40" s="65"/>
      <c r="K40" s="65"/>
      <c r="L40" s="65"/>
      <c r="M40" s="65"/>
      <c r="N40" s="65"/>
      <c r="O40" s="65"/>
      <c r="P40" s="45"/>
      <c r="Q40" s="50">
        <f>SUM(E40:O40)</f>
        <v>0</v>
      </c>
      <c r="R40" s="40"/>
      <c r="S40" s="40"/>
      <c r="T40" s="40"/>
      <c r="U40" s="40"/>
      <c r="V40" s="40"/>
      <c r="W40" s="40"/>
      <c r="X40" s="40"/>
      <c r="Y40" s="40"/>
      <c r="Z40" s="40"/>
    </row>
    <row r="41" spans="2:26" x14ac:dyDescent="0.2">
      <c r="B41" s="76" t="s">
        <v>179</v>
      </c>
      <c r="C41" s="40"/>
      <c r="D41" s="44" t="s">
        <v>161</v>
      </c>
      <c r="E41" s="65"/>
      <c r="F41" s="65"/>
      <c r="G41" s="65"/>
      <c r="H41" s="65"/>
      <c r="I41" s="65"/>
      <c r="J41" s="65"/>
      <c r="K41" s="65"/>
      <c r="L41" s="65"/>
      <c r="M41" s="65"/>
      <c r="N41" s="65"/>
      <c r="O41" s="65"/>
      <c r="P41" s="45"/>
      <c r="Q41" s="50">
        <f>SUM(E41:O41)</f>
        <v>0</v>
      </c>
      <c r="R41" s="40"/>
      <c r="S41" s="40"/>
      <c r="T41" s="40"/>
      <c r="U41" s="40"/>
      <c r="V41" s="40"/>
      <c r="W41" s="40"/>
      <c r="X41" s="40"/>
      <c r="Y41" s="40"/>
      <c r="Z41" s="40"/>
    </row>
    <row r="42" spans="2:26" x14ac:dyDescent="0.2">
      <c r="B42" s="76" t="s">
        <v>111</v>
      </c>
      <c r="C42" s="40"/>
      <c r="D42" s="44" t="s">
        <v>161</v>
      </c>
      <c r="E42" s="65"/>
      <c r="F42" s="65"/>
      <c r="G42" s="65"/>
      <c r="H42" s="65"/>
      <c r="I42" s="65"/>
      <c r="J42" s="65"/>
      <c r="K42" s="65"/>
      <c r="L42" s="65"/>
      <c r="M42" s="65"/>
      <c r="N42" s="65"/>
      <c r="O42" s="65"/>
      <c r="P42" s="45"/>
      <c r="Q42" s="50">
        <f>SUM(E42:O42)</f>
        <v>0</v>
      </c>
      <c r="R42" s="40"/>
      <c r="S42" s="40"/>
      <c r="T42" s="40"/>
      <c r="U42" s="40"/>
      <c r="V42" s="40"/>
      <c r="W42" s="40"/>
      <c r="X42" s="40"/>
      <c r="Y42" s="40"/>
      <c r="Z42" s="40"/>
    </row>
    <row r="43" spans="2:26" x14ac:dyDescent="0.2">
      <c r="B43" s="42"/>
      <c r="C43" s="40"/>
      <c r="E43" s="45"/>
      <c r="F43" s="45"/>
      <c r="G43" s="45"/>
      <c r="H43" s="45"/>
      <c r="I43" s="45"/>
      <c r="J43" s="45"/>
      <c r="K43" s="45"/>
      <c r="L43" s="45"/>
      <c r="M43" s="45"/>
      <c r="N43" s="45"/>
      <c r="O43" s="45"/>
      <c r="P43" s="45"/>
      <c r="Q43" s="45"/>
      <c r="R43" s="40"/>
      <c r="S43" s="40"/>
      <c r="T43" s="40"/>
      <c r="U43" s="40"/>
      <c r="V43" s="40"/>
      <c r="W43" s="40"/>
      <c r="X43" s="40"/>
      <c r="Y43" s="40"/>
      <c r="Z43" s="40"/>
    </row>
    <row r="44" spans="2:26" x14ac:dyDescent="0.2">
      <c r="B44" s="57" t="s">
        <v>150</v>
      </c>
      <c r="C44" s="40"/>
      <c r="E44" s="50">
        <f t="shared" ref="E44:O44" si="24">E45+E50</f>
        <v>0</v>
      </c>
      <c r="F44" s="50">
        <f t="shared" si="24"/>
        <v>0</v>
      </c>
      <c r="G44" s="50">
        <f t="shared" si="24"/>
        <v>0</v>
      </c>
      <c r="H44" s="50">
        <f t="shared" si="24"/>
        <v>0</v>
      </c>
      <c r="I44" s="50">
        <f t="shared" si="24"/>
        <v>0</v>
      </c>
      <c r="J44" s="50">
        <f t="shared" si="24"/>
        <v>0</v>
      </c>
      <c r="K44" s="50">
        <f t="shared" si="24"/>
        <v>0</v>
      </c>
      <c r="L44" s="50">
        <f t="shared" si="24"/>
        <v>0</v>
      </c>
      <c r="M44" s="50">
        <f t="shared" si="24"/>
        <v>0</v>
      </c>
      <c r="N44" s="50">
        <f t="shared" si="24"/>
        <v>0</v>
      </c>
      <c r="O44" s="50">
        <f t="shared" si="24"/>
        <v>0</v>
      </c>
      <c r="P44" s="45"/>
      <c r="Q44" s="50">
        <f t="shared" ref="Q44:Q54" si="25">SUM(E44:O44)</f>
        <v>0</v>
      </c>
      <c r="R44" s="40"/>
      <c r="S44" s="40"/>
      <c r="T44" s="40"/>
      <c r="U44" s="40"/>
      <c r="V44" s="40"/>
      <c r="W44" s="40"/>
      <c r="X44" s="40"/>
      <c r="Y44" s="40"/>
      <c r="Z44" s="40"/>
    </row>
    <row r="45" spans="2:26" x14ac:dyDescent="0.2">
      <c r="B45" s="77" t="s">
        <v>151</v>
      </c>
      <c r="C45" s="40"/>
      <c r="E45" s="50">
        <f t="shared" ref="E45:O45" si="26">SUM(E46:E49)</f>
        <v>0</v>
      </c>
      <c r="F45" s="50">
        <f t="shared" si="26"/>
        <v>0</v>
      </c>
      <c r="G45" s="50">
        <f t="shared" si="26"/>
        <v>0</v>
      </c>
      <c r="H45" s="50">
        <f t="shared" si="26"/>
        <v>0</v>
      </c>
      <c r="I45" s="50">
        <f t="shared" si="26"/>
        <v>0</v>
      </c>
      <c r="J45" s="50">
        <f t="shared" si="26"/>
        <v>0</v>
      </c>
      <c r="K45" s="50">
        <f t="shared" si="26"/>
        <v>0</v>
      </c>
      <c r="L45" s="50">
        <f t="shared" si="26"/>
        <v>0</v>
      </c>
      <c r="M45" s="50">
        <f t="shared" si="26"/>
        <v>0</v>
      </c>
      <c r="N45" s="50">
        <f t="shared" si="26"/>
        <v>0</v>
      </c>
      <c r="O45" s="50">
        <f t="shared" si="26"/>
        <v>0</v>
      </c>
      <c r="P45" s="45"/>
      <c r="Q45" s="50">
        <f t="shared" si="25"/>
        <v>0</v>
      </c>
      <c r="R45" s="40"/>
      <c r="S45" s="40"/>
      <c r="T45" s="40"/>
      <c r="U45" s="40"/>
      <c r="V45" s="40"/>
      <c r="W45" s="40"/>
      <c r="X45" s="40"/>
      <c r="Y45" s="40"/>
      <c r="Z45" s="40"/>
    </row>
    <row r="46" spans="2:26" x14ac:dyDescent="0.2">
      <c r="B46" s="76" t="s">
        <v>180</v>
      </c>
      <c r="C46" s="40"/>
      <c r="D46" s="44" t="s">
        <v>161</v>
      </c>
      <c r="E46" s="65"/>
      <c r="F46" s="65"/>
      <c r="G46" s="65"/>
      <c r="H46" s="65"/>
      <c r="I46" s="65"/>
      <c r="J46" s="65"/>
      <c r="K46" s="65"/>
      <c r="L46" s="65"/>
      <c r="M46" s="65"/>
      <c r="N46" s="65"/>
      <c r="O46" s="65"/>
      <c r="P46" s="45"/>
      <c r="Q46" s="50">
        <f t="shared" si="25"/>
        <v>0</v>
      </c>
      <c r="R46" s="40"/>
      <c r="S46" s="40"/>
      <c r="T46" s="40"/>
      <c r="U46" s="40"/>
      <c r="V46" s="40"/>
      <c r="W46" s="40"/>
      <c r="X46" s="40"/>
      <c r="Y46" s="40"/>
      <c r="Z46" s="40"/>
    </row>
    <row r="47" spans="2:26" x14ac:dyDescent="0.2">
      <c r="B47" s="76" t="s">
        <v>181</v>
      </c>
      <c r="C47" s="40"/>
      <c r="D47" s="44" t="s">
        <v>161</v>
      </c>
      <c r="E47" s="65"/>
      <c r="F47" s="65"/>
      <c r="G47" s="65"/>
      <c r="H47" s="65"/>
      <c r="I47" s="65"/>
      <c r="J47" s="65"/>
      <c r="K47" s="65"/>
      <c r="L47" s="65"/>
      <c r="M47" s="65"/>
      <c r="N47" s="65"/>
      <c r="O47" s="65"/>
      <c r="P47" s="45"/>
      <c r="Q47" s="50">
        <f t="shared" si="25"/>
        <v>0</v>
      </c>
      <c r="R47" s="40"/>
      <c r="S47" s="40"/>
      <c r="T47" s="40"/>
      <c r="U47" s="40"/>
      <c r="V47" s="40"/>
      <c r="W47" s="40"/>
      <c r="X47" s="40"/>
      <c r="Y47" s="40"/>
      <c r="Z47" s="40"/>
    </row>
    <row r="48" spans="2:26" x14ac:dyDescent="0.2">
      <c r="B48" s="76" t="s">
        <v>182</v>
      </c>
      <c r="C48" s="40"/>
      <c r="D48" s="44" t="s">
        <v>161</v>
      </c>
      <c r="E48" s="65"/>
      <c r="F48" s="65"/>
      <c r="G48" s="65"/>
      <c r="H48" s="65"/>
      <c r="I48" s="65"/>
      <c r="J48" s="65"/>
      <c r="K48" s="65"/>
      <c r="L48" s="65"/>
      <c r="M48" s="65"/>
      <c r="N48" s="65"/>
      <c r="O48" s="65"/>
      <c r="P48" s="45"/>
      <c r="Q48" s="50">
        <f t="shared" si="25"/>
        <v>0</v>
      </c>
      <c r="R48" s="40"/>
      <c r="S48" s="40"/>
      <c r="T48" s="40"/>
      <c r="U48" s="40"/>
      <c r="V48" s="40"/>
      <c r="W48" s="40"/>
      <c r="X48" s="40"/>
      <c r="Y48" s="40"/>
      <c r="Z48" s="40"/>
    </row>
    <row r="49" spans="2:26" x14ac:dyDescent="0.2">
      <c r="B49" s="76" t="s">
        <v>111</v>
      </c>
      <c r="C49" s="40"/>
      <c r="D49" s="44" t="s">
        <v>161</v>
      </c>
      <c r="E49" s="65"/>
      <c r="F49" s="65"/>
      <c r="G49" s="65"/>
      <c r="H49" s="65"/>
      <c r="I49" s="65"/>
      <c r="J49" s="65"/>
      <c r="K49" s="65"/>
      <c r="L49" s="65"/>
      <c r="M49" s="65"/>
      <c r="N49" s="65"/>
      <c r="O49" s="65"/>
      <c r="P49" s="45"/>
      <c r="Q49" s="50">
        <f t="shared" si="25"/>
        <v>0</v>
      </c>
      <c r="R49" s="40"/>
      <c r="S49" s="40"/>
      <c r="T49" s="40"/>
      <c r="U49" s="40"/>
      <c r="V49" s="40"/>
      <c r="W49" s="40"/>
      <c r="X49" s="40"/>
      <c r="Y49" s="40"/>
      <c r="Z49" s="40"/>
    </row>
    <row r="50" spans="2:26" x14ac:dyDescent="0.2">
      <c r="B50" s="77" t="s">
        <v>152</v>
      </c>
      <c r="C50" s="40"/>
      <c r="E50" s="50">
        <f t="shared" ref="E50:O50" si="27">SUM(E51:E54)</f>
        <v>0</v>
      </c>
      <c r="F50" s="50">
        <f t="shared" si="27"/>
        <v>0</v>
      </c>
      <c r="G50" s="50">
        <f t="shared" si="27"/>
        <v>0</v>
      </c>
      <c r="H50" s="50">
        <f t="shared" si="27"/>
        <v>0</v>
      </c>
      <c r="I50" s="50">
        <f t="shared" si="27"/>
        <v>0</v>
      </c>
      <c r="J50" s="50">
        <f t="shared" si="27"/>
        <v>0</v>
      </c>
      <c r="K50" s="50">
        <f t="shared" si="27"/>
        <v>0</v>
      </c>
      <c r="L50" s="50">
        <f t="shared" si="27"/>
        <v>0</v>
      </c>
      <c r="M50" s="50">
        <f t="shared" si="27"/>
        <v>0</v>
      </c>
      <c r="N50" s="50">
        <f t="shared" si="27"/>
        <v>0</v>
      </c>
      <c r="O50" s="50">
        <f t="shared" si="27"/>
        <v>0</v>
      </c>
      <c r="P50" s="45"/>
      <c r="Q50" s="50">
        <f t="shared" si="25"/>
        <v>0</v>
      </c>
      <c r="R50" s="40"/>
      <c r="S50" s="40"/>
      <c r="T50" s="40"/>
      <c r="U50" s="40"/>
      <c r="V50" s="40"/>
      <c r="W50" s="40"/>
      <c r="X50" s="40"/>
      <c r="Y50" s="40"/>
      <c r="Z50" s="40"/>
    </row>
    <row r="51" spans="2:26" x14ac:dyDescent="0.2">
      <c r="B51" s="76" t="s">
        <v>183</v>
      </c>
      <c r="C51" s="40"/>
      <c r="D51" s="44" t="s">
        <v>161</v>
      </c>
      <c r="E51" s="65"/>
      <c r="F51" s="65"/>
      <c r="G51" s="65"/>
      <c r="H51" s="65"/>
      <c r="I51" s="65"/>
      <c r="J51" s="65"/>
      <c r="K51" s="65"/>
      <c r="L51" s="65"/>
      <c r="M51" s="65"/>
      <c r="N51" s="65"/>
      <c r="O51" s="65"/>
      <c r="P51" s="45"/>
      <c r="Q51" s="50">
        <f t="shared" si="25"/>
        <v>0</v>
      </c>
      <c r="R51" s="40"/>
      <c r="S51" s="40"/>
      <c r="T51" s="40"/>
      <c r="U51" s="40"/>
      <c r="V51" s="40"/>
      <c r="W51" s="40"/>
      <c r="X51" s="40"/>
      <c r="Y51" s="40"/>
      <c r="Z51" s="40"/>
    </row>
    <row r="52" spans="2:26" x14ac:dyDescent="0.2">
      <c r="B52" s="76" t="s">
        <v>184</v>
      </c>
      <c r="C52" s="40"/>
      <c r="D52" s="44" t="s">
        <v>161</v>
      </c>
      <c r="E52" s="65"/>
      <c r="F52" s="65"/>
      <c r="G52" s="65"/>
      <c r="H52" s="65"/>
      <c r="I52" s="65"/>
      <c r="J52" s="65"/>
      <c r="K52" s="65"/>
      <c r="L52" s="65"/>
      <c r="M52" s="65"/>
      <c r="N52" s="65"/>
      <c r="O52" s="65"/>
      <c r="P52" s="45"/>
      <c r="Q52" s="50">
        <f t="shared" si="25"/>
        <v>0</v>
      </c>
      <c r="R52" s="40"/>
      <c r="S52" s="40"/>
      <c r="T52" s="40"/>
      <c r="U52" s="40"/>
      <c r="V52" s="40"/>
      <c r="W52" s="40"/>
      <c r="X52" s="40"/>
      <c r="Y52" s="40"/>
      <c r="Z52" s="40"/>
    </row>
    <row r="53" spans="2:26" x14ac:dyDescent="0.2">
      <c r="B53" s="76" t="s">
        <v>185</v>
      </c>
      <c r="C53" s="40"/>
      <c r="D53" s="44" t="s">
        <v>161</v>
      </c>
      <c r="E53" s="65"/>
      <c r="F53" s="65"/>
      <c r="G53" s="65"/>
      <c r="H53" s="65"/>
      <c r="I53" s="65"/>
      <c r="J53" s="65"/>
      <c r="K53" s="65"/>
      <c r="L53" s="65"/>
      <c r="M53" s="65"/>
      <c r="N53" s="65"/>
      <c r="O53" s="65"/>
      <c r="P53" s="45"/>
      <c r="Q53" s="50">
        <f t="shared" si="25"/>
        <v>0</v>
      </c>
      <c r="R53" s="40"/>
      <c r="S53" s="40"/>
      <c r="T53" s="40"/>
      <c r="U53" s="40"/>
      <c r="V53" s="40"/>
      <c r="W53" s="40"/>
      <c r="X53" s="40"/>
      <c r="Y53" s="40"/>
      <c r="Z53" s="40"/>
    </row>
    <row r="54" spans="2:26" x14ac:dyDescent="0.2">
      <c r="B54" s="76" t="s">
        <v>111</v>
      </c>
      <c r="C54" s="40"/>
      <c r="D54" s="44" t="s">
        <v>161</v>
      </c>
      <c r="E54" s="65"/>
      <c r="F54" s="65"/>
      <c r="G54" s="65"/>
      <c r="H54" s="65"/>
      <c r="I54" s="65"/>
      <c r="J54" s="65"/>
      <c r="K54" s="65"/>
      <c r="L54" s="65"/>
      <c r="M54" s="65"/>
      <c r="N54" s="65"/>
      <c r="O54" s="65"/>
      <c r="P54" s="45"/>
      <c r="Q54" s="50">
        <f t="shared" si="25"/>
        <v>0</v>
      </c>
      <c r="R54" s="40"/>
      <c r="S54" s="40"/>
      <c r="T54" s="40"/>
      <c r="U54" s="40"/>
      <c r="V54" s="40"/>
      <c r="W54" s="40"/>
      <c r="X54" s="40"/>
      <c r="Y54" s="40"/>
      <c r="Z54" s="40"/>
    </row>
    <row r="55" spans="2:26" x14ac:dyDescent="0.2">
      <c r="B55" s="35"/>
      <c r="C55" s="40"/>
      <c r="E55" s="45"/>
      <c r="F55" s="45"/>
      <c r="G55" s="45"/>
      <c r="H55" s="45"/>
      <c r="I55" s="45"/>
      <c r="J55" s="45"/>
      <c r="K55" s="45"/>
      <c r="L55" s="45"/>
      <c r="M55" s="45"/>
      <c r="N55" s="45"/>
      <c r="O55" s="45"/>
      <c r="P55" s="45"/>
      <c r="Q55" s="45"/>
      <c r="R55" s="40"/>
      <c r="S55" s="40"/>
      <c r="T55" s="40"/>
      <c r="U55" s="40"/>
      <c r="V55" s="40"/>
      <c r="W55" s="40"/>
      <c r="X55" s="40"/>
      <c r="Y55" s="40"/>
      <c r="Z55" s="40"/>
    </row>
    <row r="56" spans="2:26" x14ac:dyDescent="0.2">
      <c r="B56" s="91" t="s">
        <v>212</v>
      </c>
      <c r="D56" s="36" t="s">
        <v>161</v>
      </c>
      <c r="E56" s="128"/>
      <c r="F56" s="128"/>
      <c r="G56" s="128"/>
      <c r="H56" s="128"/>
      <c r="I56" s="128"/>
      <c r="J56" s="128"/>
      <c r="K56" s="128"/>
      <c r="L56" s="128"/>
      <c r="M56" s="128"/>
      <c r="N56" s="128"/>
      <c r="O56" s="128"/>
      <c r="P56" s="100"/>
      <c r="Q56" s="50">
        <f>SUM(E56:O56)</f>
        <v>0</v>
      </c>
      <c r="R56" s="40"/>
      <c r="S56" s="40"/>
      <c r="T56" s="40"/>
      <c r="U56" s="40"/>
      <c r="V56" s="40"/>
      <c r="W56" s="40"/>
      <c r="X56" s="40"/>
      <c r="Y56" s="40"/>
      <c r="Z56" s="40"/>
    </row>
    <row r="57" spans="2:26" x14ac:dyDescent="0.2">
      <c r="B57" s="86" t="s">
        <v>214</v>
      </c>
      <c r="D57" s="36" t="s">
        <v>162</v>
      </c>
      <c r="E57" s="98">
        <f>E91</f>
        <v>0</v>
      </c>
      <c r="F57" s="98">
        <f t="shared" ref="F57:O57" si="28">F91</f>
        <v>0</v>
      </c>
      <c r="G57" s="98">
        <f t="shared" si="28"/>
        <v>0</v>
      </c>
      <c r="H57" s="98">
        <f t="shared" si="28"/>
        <v>0</v>
      </c>
      <c r="I57" s="98">
        <f t="shared" si="28"/>
        <v>0</v>
      </c>
      <c r="J57" s="98">
        <f t="shared" si="28"/>
        <v>0</v>
      </c>
      <c r="K57" s="98">
        <f t="shared" si="28"/>
        <v>0</v>
      </c>
      <c r="L57" s="98">
        <f t="shared" si="28"/>
        <v>0</v>
      </c>
      <c r="M57" s="98">
        <f t="shared" si="28"/>
        <v>0</v>
      </c>
      <c r="N57" s="98">
        <f t="shared" si="28"/>
        <v>0</v>
      </c>
      <c r="O57" s="98">
        <f t="shared" si="28"/>
        <v>0</v>
      </c>
      <c r="P57" s="100"/>
      <c r="Q57" s="50">
        <f>SUM(E57:O57)</f>
        <v>0</v>
      </c>
      <c r="R57" s="40"/>
      <c r="S57" s="40"/>
      <c r="T57" s="40"/>
      <c r="U57" s="40"/>
      <c r="V57" s="40"/>
      <c r="W57" s="40"/>
      <c r="X57" s="40"/>
      <c r="Y57" s="40"/>
      <c r="Z57" s="40"/>
    </row>
    <row r="58" spans="2:26" x14ac:dyDescent="0.2">
      <c r="D58" s="1"/>
      <c r="E58" s="100"/>
      <c r="F58" s="100"/>
      <c r="G58" s="100"/>
      <c r="H58" s="100"/>
      <c r="I58" s="100"/>
      <c r="J58" s="100"/>
      <c r="K58" s="100"/>
      <c r="L58" s="100"/>
      <c r="M58" s="100"/>
      <c r="N58" s="100"/>
      <c r="O58" s="100"/>
      <c r="P58" s="100"/>
      <c r="Q58" s="100"/>
      <c r="R58" s="40"/>
      <c r="S58" s="40"/>
      <c r="T58" s="40"/>
      <c r="U58" s="40"/>
      <c r="V58" s="40"/>
      <c r="W58" s="40"/>
      <c r="X58" s="40"/>
      <c r="Y58" s="40"/>
      <c r="Z58" s="40"/>
    </row>
    <row r="59" spans="2:26" x14ac:dyDescent="0.2">
      <c r="B59" s="97" t="s">
        <v>208</v>
      </c>
      <c r="D59" s="1"/>
      <c r="E59" s="129">
        <f>E29*$E$32</f>
        <v>0</v>
      </c>
      <c r="F59" s="129">
        <f t="shared" ref="F59:O59" si="29">F29*$E$32</f>
        <v>0</v>
      </c>
      <c r="G59" s="129">
        <f t="shared" si="29"/>
        <v>0</v>
      </c>
      <c r="H59" s="129">
        <f t="shared" si="29"/>
        <v>0</v>
      </c>
      <c r="I59" s="129">
        <f t="shared" si="29"/>
        <v>0</v>
      </c>
      <c r="J59" s="129">
        <f t="shared" si="29"/>
        <v>0</v>
      </c>
      <c r="K59" s="129">
        <f t="shared" si="29"/>
        <v>0</v>
      </c>
      <c r="L59" s="129">
        <f t="shared" si="29"/>
        <v>0</v>
      </c>
      <c r="M59" s="129">
        <f t="shared" si="29"/>
        <v>0</v>
      </c>
      <c r="N59" s="129">
        <f t="shared" si="29"/>
        <v>0</v>
      </c>
      <c r="O59" s="129">
        <f t="shared" si="29"/>
        <v>0</v>
      </c>
      <c r="P59" s="100"/>
      <c r="Q59" s="50">
        <f>SUM(E59:O59)</f>
        <v>0</v>
      </c>
      <c r="R59" s="40"/>
      <c r="S59" s="40"/>
      <c r="T59" s="40"/>
      <c r="U59" s="40"/>
      <c r="V59" s="40"/>
      <c r="W59" s="40"/>
      <c r="X59" s="40"/>
      <c r="Y59" s="40"/>
      <c r="Z59" s="40"/>
    </row>
    <row r="60" spans="2:26" x14ac:dyDescent="0.2">
      <c r="D60" s="1"/>
      <c r="E60" s="100"/>
      <c r="F60" s="100"/>
      <c r="G60" s="100"/>
      <c r="H60" s="100"/>
      <c r="I60" s="100"/>
      <c r="J60" s="100"/>
      <c r="K60" s="100"/>
      <c r="L60" s="100"/>
      <c r="M60" s="100"/>
      <c r="N60" s="100"/>
      <c r="O60" s="100"/>
      <c r="P60" s="100"/>
      <c r="Q60" s="100"/>
      <c r="R60" s="40"/>
      <c r="S60" s="40"/>
      <c r="T60" s="40"/>
      <c r="U60" s="40"/>
      <c r="V60" s="40"/>
      <c r="W60" s="40"/>
      <c r="X60" s="40"/>
      <c r="Y60" s="40"/>
      <c r="Z60" s="40"/>
    </row>
    <row r="61" spans="2:26" x14ac:dyDescent="0.2">
      <c r="B61" s="57" t="s">
        <v>211</v>
      </c>
      <c r="C61" s="40"/>
      <c r="E61" s="50">
        <f>E38+E44+E56+E57+E59</f>
        <v>0</v>
      </c>
      <c r="F61" s="50">
        <f t="shared" ref="F61:O61" si="30">F38+F44+F56+F94</f>
        <v>0</v>
      </c>
      <c r="G61" s="50">
        <f t="shared" si="30"/>
        <v>0</v>
      </c>
      <c r="H61" s="50">
        <f t="shared" si="30"/>
        <v>0</v>
      </c>
      <c r="I61" s="50">
        <f t="shared" si="30"/>
        <v>0</v>
      </c>
      <c r="J61" s="50">
        <f t="shared" si="30"/>
        <v>0</v>
      </c>
      <c r="K61" s="50">
        <f t="shared" si="30"/>
        <v>0</v>
      </c>
      <c r="L61" s="50">
        <f t="shared" si="30"/>
        <v>0</v>
      </c>
      <c r="M61" s="50">
        <f t="shared" si="30"/>
        <v>0</v>
      </c>
      <c r="N61" s="50">
        <f t="shared" si="30"/>
        <v>0</v>
      </c>
      <c r="O61" s="50">
        <f t="shared" si="30"/>
        <v>0</v>
      </c>
      <c r="P61" s="45"/>
      <c r="Q61" s="50">
        <f>SUM(E61:O61)</f>
        <v>0</v>
      </c>
      <c r="R61" s="40"/>
      <c r="S61" s="40"/>
      <c r="T61" s="40"/>
      <c r="U61" s="40"/>
      <c r="V61" s="40"/>
      <c r="W61" s="40"/>
      <c r="X61" s="40"/>
      <c r="Y61" s="40"/>
      <c r="Z61" s="40"/>
    </row>
    <row r="62" spans="2:26" x14ac:dyDescent="0.2">
      <c r="B62" s="35"/>
      <c r="C62" s="40"/>
      <c r="E62" s="40"/>
      <c r="F62" s="40"/>
      <c r="G62" s="40"/>
      <c r="H62" s="40"/>
      <c r="I62" s="40"/>
      <c r="J62" s="40"/>
      <c r="K62" s="40"/>
      <c r="L62" s="40"/>
      <c r="M62" s="40"/>
      <c r="N62" s="40"/>
      <c r="O62" s="40"/>
      <c r="P62" s="40"/>
      <c r="Q62" s="45"/>
      <c r="R62" s="40"/>
      <c r="S62" s="40"/>
      <c r="T62" s="40"/>
      <c r="U62" s="40"/>
      <c r="V62" s="40"/>
      <c r="W62" s="40"/>
      <c r="X62" s="40"/>
      <c r="Y62" s="40"/>
      <c r="Z62" s="40"/>
    </row>
    <row r="63" spans="2:26" x14ac:dyDescent="0.2">
      <c r="B63" s="47" t="s">
        <v>213</v>
      </c>
      <c r="C63" s="40"/>
      <c r="E63" s="56" t="s">
        <v>170</v>
      </c>
      <c r="F63" s="40"/>
      <c r="G63" s="40"/>
      <c r="H63" s="40"/>
      <c r="I63" s="40"/>
      <c r="J63" s="40"/>
      <c r="K63" s="40"/>
      <c r="L63" s="40"/>
      <c r="M63" s="40"/>
      <c r="N63" s="40"/>
      <c r="O63" s="40"/>
      <c r="P63" s="40"/>
      <c r="Q63" s="45"/>
      <c r="R63" s="40"/>
      <c r="S63" s="40"/>
      <c r="T63" s="40"/>
      <c r="U63" s="40"/>
      <c r="V63" s="40"/>
      <c r="W63" s="40"/>
      <c r="X63" s="40"/>
      <c r="Y63" s="40"/>
      <c r="Z63" s="40"/>
    </row>
    <row r="64" spans="2:26" x14ac:dyDescent="0.2">
      <c r="B64" s="35"/>
      <c r="C64" s="40"/>
      <c r="E64" s="40"/>
      <c r="F64" s="40"/>
      <c r="G64" s="40"/>
      <c r="H64" s="40"/>
      <c r="I64" s="40"/>
      <c r="J64" s="40"/>
      <c r="K64" s="40"/>
      <c r="L64" s="40"/>
      <c r="M64" s="40"/>
      <c r="N64" s="40"/>
      <c r="O64" s="40"/>
      <c r="P64" s="40"/>
      <c r="Q64" s="45"/>
      <c r="R64" s="40"/>
      <c r="S64" s="40"/>
      <c r="T64" s="40"/>
      <c r="U64" s="40"/>
      <c r="V64" s="40"/>
      <c r="W64" s="40"/>
      <c r="X64" s="40"/>
      <c r="Y64" s="40"/>
      <c r="Z64" s="40"/>
    </row>
    <row r="65" spans="2:26" x14ac:dyDescent="0.2">
      <c r="B65" s="51" t="s">
        <v>158</v>
      </c>
      <c r="C65" s="52"/>
      <c r="D65" s="92"/>
      <c r="E65" s="74">
        <f t="shared" ref="E65:O65" si="31">IFERROR(1/((1+$E$6+E10)^E9),"-")</f>
        <v>1</v>
      </c>
      <c r="F65" s="74">
        <f t="shared" si="31"/>
        <v>0.94339622641509424</v>
      </c>
      <c r="G65" s="74">
        <f t="shared" si="31"/>
        <v>0.88999644001423983</v>
      </c>
      <c r="H65" s="74">
        <f t="shared" si="31"/>
        <v>0.8396192830323016</v>
      </c>
      <c r="I65" s="74">
        <f t="shared" si="31"/>
        <v>0.79209366323802044</v>
      </c>
      <c r="J65" s="74">
        <f t="shared" si="31"/>
        <v>0.74725817286605689</v>
      </c>
      <c r="K65" s="74">
        <f t="shared" si="31"/>
        <v>0.70496054043967626</v>
      </c>
      <c r="L65" s="74">
        <f t="shared" si="31"/>
        <v>0.66505711362233599</v>
      </c>
      <c r="M65" s="74">
        <f t="shared" si="31"/>
        <v>0.62741237134182648</v>
      </c>
      <c r="N65" s="74">
        <f t="shared" si="31"/>
        <v>0.59189846353002495</v>
      </c>
      <c r="O65" s="74" t="str">
        <f t="shared" si="31"/>
        <v>-</v>
      </c>
      <c r="P65" s="40"/>
      <c r="Q65" s="45"/>
      <c r="R65" s="40"/>
      <c r="S65" s="40"/>
      <c r="T65" s="40"/>
      <c r="U65" s="40"/>
      <c r="V65" s="40"/>
      <c r="W65" s="40"/>
      <c r="X65" s="40"/>
      <c r="Y65" s="40"/>
      <c r="Z65" s="40"/>
    </row>
    <row r="66" spans="2:26" x14ac:dyDescent="0.2">
      <c r="B66" s="51" t="s">
        <v>159</v>
      </c>
      <c r="C66" s="52"/>
      <c r="D66" s="92"/>
      <c r="E66" s="75">
        <f>IFERROR(E61*E65,"-")</f>
        <v>0</v>
      </c>
      <c r="F66" s="75">
        <f t="shared" ref="F66:O66" si="32">IFERROR(F61*F65,"-")</f>
        <v>0</v>
      </c>
      <c r="G66" s="75">
        <f t="shared" si="32"/>
        <v>0</v>
      </c>
      <c r="H66" s="75">
        <f t="shared" si="32"/>
        <v>0</v>
      </c>
      <c r="I66" s="75">
        <f t="shared" si="32"/>
        <v>0</v>
      </c>
      <c r="J66" s="75">
        <f t="shared" si="32"/>
        <v>0</v>
      </c>
      <c r="K66" s="75">
        <f t="shared" si="32"/>
        <v>0</v>
      </c>
      <c r="L66" s="75">
        <f t="shared" si="32"/>
        <v>0</v>
      </c>
      <c r="M66" s="75">
        <f t="shared" si="32"/>
        <v>0</v>
      </c>
      <c r="N66" s="75">
        <f t="shared" si="32"/>
        <v>0</v>
      </c>
      <c r="O66" s="75" t="str">
        <f t="shared" si="32"/>
        <v>-</v>
      </c>
      <c r="P66" s="45"/>
      <c r="Q66" s="50">
        <f>SUM(E66:O66)</f>
        <v>0</v>
      </c>
      <c r="R66" s="40"/>
      <c r="S66" s="40"/>
      <c r="T66" s="40"/>
      <c r="U66" s="40"/>
      <c r="V66" s="40"/>
      <c r="W66" s="40"/>
      <c r="X66" s="40"/>
      <c r="Y66" s="40"/>
      <c r="Z66" s="40"/>
    </row>
    <row r="67" spans="2:26" x14ac:dyDescent="0.2">
      <c r="B67" s="35"/>
      <c r="C67" s="40"/>
      <c r="E67" s="45"/>
      <c r="F67" s="45"/>
      <c r="G67" s="45"/>
      <c r="H67" s="45"/>
      <c r="I67" s="45"/>
      <c r="J67" s="45"/>
      <c r="K67" s="45"/>
      <c r="L67" s="45"/>
      <c r="M67" s="45"/>
      <c r="N67" s="45"/>
      <c r="O67" s="45"/>
      <c r="P67" s="45"/>
      <c r="Q67" s="45"/>
      <c r="R67" s="40"/>
      <c r="S67" s="40"/>
      <c r="T67" s="40"/>
      <c r="U67" s="40"/>
      <c r="V67" s="40"/>
      <c r="W67" s="40"/>
      <c r="X67" s="40"/>
      <c r="Y67" s="40"/>
      <c r="Z67" s="40"/>
    </row>
    <row r="68" spans="2:26" x14ac:dyDescent="0.2">
      <c r="B68" s="47" t="s">
        <v>215</v>
      </c>
      <c r="C68" s="40"/>
      <c r="E68" s="55">
        <f>SUM(E66:O66)</f>
        <v>0</v>
      </c>
      <c r="F68" s="45"/>
      <c r="G68" s="45"/>
      <c r="H68" s="45"/>
      <c r="I68" s="45"/>
      <c r="J68" s="45"/>
      <c r="K68" s="45"/>
      <c r="L68" s="45"/>
      <c r="M68" s="45"/>
      <c r="N68" s="45"/>
      <c r="O68" s="45"/>
      <c r="P68" s="45"/>
      <c r="Q68" s="45"/>
      <c r="R68" s="40"/>
      <c r="S68" s="40"/>
      <c r="T68" s="40"/>
      <c r="U68" s="40"/>
      <c r="V68" s="40"/>
      <c r="W68" s="40"/>
      <c r="X68" s="40"/>
      <c r="Y68" s="40"/>
      <c r="Z68" s="40"/>
    </row>
    <row r="69" spans="2:26" s="69" customFormat="1" ht="5.25" x14ac:dyDescent="0.15">
      <c r="B69" s="66"/>
      <c r="C69" s="67"/>
      <c r="D69" s="93"/>
      <c r="E69" s="70"/>
      <c r="F69" s="79"/>
      <c r="G69" s="79"/>
      <c r="H69" s="79"/>
      <c r="I69" s="79"/>
      <c r="J69" s="79"/>
      <c r="K69" s="79"/>
      <c r="L69" s="79"/>
      <c r="M69" s="79"/>
      <c r="N69" s="79"/>
      <c r="O69" s="79"/>
      <c r="P69" s="79"/>
      <c r="Q69" s="79"/>
      <c r="R69" s="67"/>
      <c r="S69" s="67"/>
      <c r="T69" s="67"/>
      <c r="U69" s="67"/>
      <c r="V69" s="67"/>
      <c r="W69" s="67"/>
      <c r="X69" s="67"/>
      <c r="Y69" s="67"/>
      <c r="Z69" s="67"/>
    </row>
    <row r="70" spans="2:26" x14ac:dyDescent="0.2">
      <c r="B70" s="71"/>
      <c r="C70" s="72"/>
      <c r="D70" s="95"/>
      <c r="E70" s="73"/>
      <c r="F70" s="140"/>
      <c r="G70" s="140"/>
      <c r="H70" s="140"/>
      <c r="I70" s="140"/>
      <c r="J70" s="140"/>
      <c r="K70" s="140"/>
      <c r="L70" s="140"/>
      <c r="M70" s="140"/>
      <c r="N70" s="140"/>
      <c r="O70" s="140"/>
      <c r="P70" s="45"/>
      <c r="Q70" s="45"/>
      <c r="R70" s="40"/>
      <c r="S70" s="40"/>
      <c r="T70" s="40"/>
      <c r="U70" s="40"/>
      <c r="V70" s="40"/>
      <c r="W70" s="40"/>
      <c r="X70" s="40"/>
      <c r="Y70" s="40"/>
      <c r="Z70" s="40"/>
    </row>
    <row r="71" spans="2:26" s="69" customFormat="1" ht="5.25" x14ac:dyDescent="0.15">
      <c r="B71" s="102"/>
      <c r="C71" s="67"/>
      <c r="D71" s="93"/>
      <c r="E71" s="103"/>
      <c r="F71" s="103"/>
      <c r="G71" s="103"/>
      <c r="H71" s="103"/>
      <c r="I71" s="103"/>
      <c r="J71" s="103"/>
      <c r="K71" s="103"/>
      <c r="L71" s="103"/>
      <c r="M71" s="103"/>
      <c r="N71" s="103"/>
      <c r="O71" s="103"/>
      <c r="P71" s="79"/>
      <c r="Q71" s="79"/>
      <c r="R71" s="67"/>
      <c r="S71" s="67"/>
      <c r="T71" s="67"/>
      <c r="U71" s="67"/>
      <c r="V71" s="67"/>
      <c r="W71" s="67"/>
      <c r="X71" s="67"/>
      <c r="Y71" s="67"/>
      <c r="Z71" s="67"/>
    </row>
    <row r="72" spans="2:26" x14ac:dyDescent="0.2">
      <c r="B72" s="42" t="s">
        <v>148</v>
      </c>
      <c r="C72" s="40"/>
      <c r="E72" s="84"/>
      <c r="F72" s="84"/>
      <c r="G72" s="84"/>
      <c r="H72" s="84"/>
      <c r="I72" s="84"/>
      <c r="J72" s="84"/>
      <c r="K72" s="84"/>
      <c r="L72" s="84"/>
      <c r="M72" s="84"/>
      <c r="N72" s="84"/>
      <c r="O72" s="84"/>
      <c r="P72" s="45"/>
      <c r="Q72" s="45"/>
      <c r="R72" s="40"/>
      <c r="S72" s="40"/>
      <c r="T72" s="40"/>
      <c r="U72" s="40"/>
      <c r="V72" s="40"/>
      <c r="W72" s="40"/>
      <c r="X72" s="40"/>
      <c r="Y72" s="40"/>
      <c r="Z72" s="40"/>
    </row>
    <row r="73" spans="2:26" x14ac:dyDescent="0.2">
      <c r="B73" s="57" t="s">
        <v>149</v>
      </c>
      <c r="C73" s="40"/>
      <c r="E73" s="50">
        <f>SUM(E74:E77)</f>
        <v>0</v>
      </c>
      <c r="F73" s="50">
        <f t="shared" ref="F73" si="33">SUM(F74:F77)</f>
        <v>0</v>
      </c>
      <c r="G73" s="50">
        <f t="shared" ref="G73" si="34">SUM(G74:G77)</f>
        <v>0</v>
      </c>
      <c r="H73" s="50">
        <f t="shared" ref="H73" si="35">SUM(H74:H77)</f>
        <v>0</v>
      </c>
      <c r="I73" s="50">
        <f t="shared" ref="I73" si="36">SUM(I74:I77)</f>
        <v>0</v>
      </c>
      <c r="J73" s="50">
        <f t="shared" ref="J73" si="37">SUM(J74:J77)</f>
        <v>0</v>
      </c>
      <c r="K73" s="50">
        <f t="shared" ref="K73" si="38">SUM(K74:K77)</f>
        <v>0</v>
      </c>
      <c r="L73" s="50">
        <f t="shared" ref="L73" si="39">SUM(L74:L77)</f>
        <v>0</v>
      </c>
      <c r="M73" s="50">
        <f t="shared" ref="M73" si="40">SUM(M74:M77)</f>
        <v>0</v>
      </c>
      <c r="N73" s="50">
        <f t="shared" ref="N73" si="41">SUM(N74:N77)</f>
        <v>0</v>
      </c>
      <c r="O73" s="50">
        <f t="shared" ref="O73" si="42">SUM(O74:O77)</f>
        <v>0</v>
      </c>
      <c r="P73" s="45"/>
      <c r="Q73" s="50">
        <f>SUM(E73:O73)</f>
        <v>0</v>
      </c>
      <c r="R73" s="40"/>
      <c r="S73" s="40"/>
      <c r="T73" s="40"/>
      <c r="U73" s="40"/>
      <c r="V73" s="40"/>
      <c r="W73" s="40"/>
      <c r="X73" s="40"/>
      <c r="Y73" s="40"/>
      <c r="Z73" s="40"/>
    </row>
    <row r="74" spans="2:26" x14ac:dyDescent="0.2">
      <c r="B74" s="76" t="s">
        <v>177</v>
      </c>
      <c r="C74" s="40"/>
      <c r="D74" s="44" t="s">
        <v>161</v>
      </c>
      <c r="E74" s="65"/>
      <c r="F74" s="65"/>
      <c r="G74" s="65"/>
      <c r="H74" s="65"/>
      <c r="I74" s="65"/>
      <c r="J74" s="65"/>
      <c r="K74" s="65"/>
      <c r="L74" s="65"/>
      <c r="M74" s="65"/>
      <c r="N74" s="65"/>
      <c r="O74" s="65"/>
      <c r="P74" s="45"/>
      <c r="Q74" s="50">
        <f>SUM(E74:O74)</f>
        <v>0</v>
      </c>
      <c r="R74" s="40"/>
      <c r="S74" s="40"/>
      <c r="T74" s="40"/>
      <c r="U74" s="40"/>
      <c r="V74" s="40"/>
      <c r="W74" s="40"/>
      <c r="X74" s="40"/>
      <c r="Y74" s="40"/>
      <c r="Z74" s="40"/>
    </row>
    <row r="75" spans="2:26" x14ac:dyDescent="0.2">
      <c r="B75" s="76" t="s">
        <v>178</v>
      </c>
      <c r="C75" s="40"/>
      <c r="D75" s="44" t="s">
        <v>161</v>
      </c>
      <c r="E75" s="65"/>
      <c r="F75" s="65"/>
      <c r="G75" s="65"/>
      <c r="H75" s="65"/>
      <c r="I75" s="65"/>
      <c r="J75" s="65"/>
      <c r="K75" s="65"/>
      <c r="L75" s="65"/>
      <c r="M75" s="65"/>
      <c r="N75" s="65"/>
      <c r="O75" s="65"/>
      <c r="P75" s="45"/>
      <c r="Q75" s="50">
        <f>SUM(E75:O75)</f>
        <v>0</v>
      </c>
      <c r="R75" s="40"/>
      <c r="S75" s="40"/>
      <c r="T75" s="40"/>
      <c r="U75" s="40"/>
      <c r="V75" s="40"/>
      <c r="W75" s="40"/>
      <c r="X75" s="40"/>
      <c r="Y75" s="40"/>
      <c r="Z75" s="40"/>
    </row>
    <row r="76" spans="2:26" x14ac:dyDescent="0.2">
      <c r="B76" s="76" t="s">
        <v>179</v>
      </c>
      <c r="C76" s="40"/>
      <c r="D76" s="44" t="s">
        <v>161</v>
      </c>
      <c r="E76" s="65"/>
      <c r="F76" s="65"/>
      <c r="G76" s="65"/>
      <c r="H76" s="65"/>
      <c r="I76" s="65"/>
      <c r="J76" s="65"/>
      <c r="K76" s="65"/>
      <c r="L76" s="65"/>
      <c r="M76" s="65"/>
      <c r="N76" s="65"/>
      <c r="O76" s="65"/>
      <c r="P76" s="45"/>
      <c r="Q76" s="50">
        <f>SUM(E76:O76)</f>
        <v>0</v>
      </c>
      <c r="R76" s="40"/>
      <c r="S76" s="40"/>
      <c r="T76" s="40"/>
      <c r="U76" s="40"/>
      <c r="V76" s="40"/>
      <c r="W76" s="40"/>
      <c r="X76" s="40"/>
      <c r="Y76" s="40"/>
      <c r="Z76" s="40"/>
    </row>
    <row r="77" spans="2:26" x14ac:dyDescent="0.2">
      <c r="B77" s="76" t="s">
        <v>111</v>
      </c>
      <c r="C77" s="40"/>
      <c r="D77" s="44" t="s">
        <v>161</v>
      </c>
      <c r="E77" s="65"/>
      <c r="F77" s="65"/>
      <c r="G77" s="65"/>
      <c r="H77" s="65"/>
      <c r="I77" s="65"/>
      <c r="J77" s="65"/>
      <c r="K77" s="65"/>
      <c r="L77" s="65"/>
      <c r="M77" s="65"/>
      <c r="N77" s="65"/>
      <c r="O77" s="65"/>
      <c r="P77" s="45"/>
      <c r="Q77" s="50">
        <f>SUM(E77:O77)</f>
        <v>0</v>
      </c>
      <c r="R77" s="40"/>
      <c r="S77" s="40"/>
      <c r="T77" s="40"/>
      <c r="U77" s="40"/>
      <c r="V77" s="40"/>
      <c r="W77" s="40"/>
      <c r="X77" s="40"/>
      <c r="Y77" s="40"/>
      <c r="Z77" s="40"/>
    </row>
    <row r="78" spans="2:26" x14ac:dyDescent="0.2">
      <c r="B78" s="42"/>
      <c r="C78" s="40"/>
      <c r="E78" s="45"/>
      <c r="F78" s="45"/>
      <c r="G78" s="45"/>
      <c r="H78" s="45"/>
      <c r="I78" s="45"/>
      <c r="J78" s="45"/>
      <c r="K78" s="45"/>
      <c r="L78" s="45"/>
      <c r="M78" s="45"/>
      <c r="N78" s="45"/>
      <c r="O78" s="45"/>
      <c r="P78" s="45"/>
      <c r="Q78" s="45"/>
      <c r="R78" s="40"/>
      <c r="S78" s="40"/>
      <c r="T78" s="40"/>
      <c r="U78" s="40"/>
      <c r="V78" s="40"/>
      <c r="W78" s="40"/>
      <c r="X78" s="40"/>
      <c r="Y78" s="40"/>
      <c r="Z78" s="40"/>
    </row>
    <row r="79" spans="2:26" x14ac:dyDescent="0.2">
      <c r="B79" s="57" t="s">
        <v>150</v>
      </c>
      <c r="C79" s="40"/>
      <c r="E79" s="50">
        <f t="shared" ref="E79:O79" si="43">E80+E85</f>
        <v>0</v>
      </c>
      <c r="F79" s="50">
        <f t="shared" si="43"/>
        <v>0</v>
      </c>
      <c r="G79" s="50">
        <f t="shared" si="43"/>
        <v>0</v>
      </c>
      <c r="H79" s="50">
        <f t="shared" si="43"/>
        <v>0</v>
      </c>
      <c r="I79" s="50">
        <f t="shared" si="43"/>
        <v>0</v>
      </c>
      <c r="J79" s="50">
        <f t="shared" si="43"/>
        <v>0</v>
      </c>
      <c r="K79" s="50">
        <f t="shared" si="43"/>
        <v>0</v>
      </c>
      <c r="L79" s="50">
        <f t="shared" si="43"/>
        <v>0</v>
      </c>
      <c r="M79" s="50">
        <f t="shared" si="43"/>
        <v>0</v>
      </c>
      <c r="N79" s="50">
        <f t="shared" si="43"/>
        <v>0</v>
      </c>
      <c r="O79" s="50">
        <f t="shared" si="43"/>
        <v>0</v>
      </c>
      <c r="P79" s="45"/>
      <c r="Q79" s="50">
        <f t="shared" ref="Q79:Q89" si="44">SUM(E79:O79)</f>
        <v>0</v>
      </c>
      <c r="R79" s="40"/>
      <c r="S79" s="40"/>
      <c r="T79" s="40"/>
      <c r="U79" s="40"/>
      <c r="V79" s="40"/>
      <c r="W79" s="40"/>
      <c r="X79" s="40"/>
      <c r="Y79" s="40"/>
      <c r="Z79" s="40"/>
    </row>
    <row r="80" spans="2:26" x14ac:dyDescent="0.2">
      <c r="B80" s="77" t="s">
        <v>151</v>
      </c>
      <c r="C80" s="40"/>
      <c r="E80" s="50">
        <f t="shared" ref="E80:O80" si="45">SUM(E81:E84)</f>
        <v>0</v>
      </c>
      <c r="F80" s="50">
        <f t="shared" si="45"/>
        <v>0</v>
      </c>
      <c r="G80" s="50">
        <f t="shared" si="45"/>
        <v>0</v>
      </c>
      <c r="H80" s="50">
        <f t="shared" si="45"/>
        <v>0</v>
      </c>
      <c r="I80" s="50">
        <f t="shared" si="45"/>
        <v>0</v>
      </c>
      <c r="J80" s="50">
        <f t="shared" si="45"/>
        <v>0</v>
      </c>
      <c r="K80" s="50">
        <f t="shared" si="45"/>
        <v>0</v>
      </c>
      <c r="L80" s="50">
        <f t="shared" si="45"/>
        <v>0</v>
      </c>
      <c r="M80" s="50">
        <f t="shared" si="45"/>
        <v>0</v>
      </c>
      <c r="N80" s="50">
        <f t="shared" si="45"/>
        <v>0</v>
      </c>
      <c r="O80" s="50">
        <f t="shared" si="45"/>
        <v>0</v>
      </c>
      <c r="P80" s="45"/>
      <c r="Q80" s="50">
        <f t="shared" si="44"/>
        <v>0</v>
      </c>
      <c r="R80" s="40"/>
      <c r="S80" s="40"/>
      <c r="T80" s="40"/>
      <c r="U80" s="40"/>
      <c r="V80" s="40"/>
      <c r="W80" s="40"/>
      <c r="X80" s="40"/>
      <c r="Y80" s="40"/>
      <c r="Z80" s="40"/>
    </row>
    <row r="81" spans="2:26" x14ac:dyDescent="0.2">
      <c r="B81" s="76" t="s">
        <v>180</v>
      </c>
      <c r="C81" s="40"/>
      <c r="D81" s="44" t="s">
        <v>161</v>
      </c>
      <c r="E81" s="65"/>
      <c r="F81" s="65"/>
      <c r="G81" s="65"/>
      <c r="H81" s="65"/>
      <c r="I81" s="65"/>
      <c r="J81" s="65"/>
      <c r="K81" s="65"/>
      <c r="L81" s="65"/>
      <c r="M81" s="65"/>
      <c r="N81" s="65"/>
      <c r="O81" s="65"/>
      <c r="P81" s="45"/>
      <c r="Q81" s="50">
        <f t="shared" si="44"/>
        <v>0</v>
      </c>
      <c r="R81" s="40"/>
      <c r="S81" s="40"/>
      <c r="T81" s="40"/>
      <c r="U81" s="40"/>
      <c r="V81" s="40"/>
      <c r="W81" s="40"/>
      <c r="X81" s="40"/>
      <c r="Y81" s="40"/>
      <c r="Z81" s="40"/>
    </row>
    <row r="82" spans="2:26" x14ac:dyDescent="0.2">
      <c r="B82" s="76" t="s">
        <v>181</v>
      </c>
      <c r="C82" s="40"/>
      <c r="D82" s="44" t="s">
        <v>161</v>
      </c>
      <c r="E82" s="65"/>
      <c r="F82" s="65"/>
      <c r="G82" s="65"/>
      <c r="H82" s="65"/>
      <c r="I82" s="65"/>
      <c r="J82" s="65"/>
      <c r="K82" s="65"/>
      <c r="L82" s="65"/>
      <c r="M82" s="65"/>
      <c r="N82" s="65"/>
      <c r="O82" s="65"/>
      <c r="P82" s="45"/>
      <c r="Q82" s="50">
        <f t="shared" si="44"/>
        <v>0</v>
      </c>
      <c r="R82" s="40"/>
      <c r="S82" s="40"/>
      <c r="T82" s="40"/>
      <c r="U82" s="40"/>
      <c r="V82" s="40"/>
      <c r="W82" s="40"/>
      <c r="X82" s="40"/>
      <c r="Y82" s="40"/>
      <c r="Z82" s="40"/>
    </row>
    <row r="83" spans="2:26" x14ac:dyDescent="0.2">
      <c r="B83" s="76" t="s">
        <v>182</v>
      </c>
      <c r="C83" s="40"/>
      <c r="D83" s="44" t="s">
        <v>161</v>
      </c>
      <c r="E83" s="65"/>
      <c r="F83" s="65"/>
      <c r="G83" s="65"/>
      <c r="H83" s="65"/>
      <c r="I83" s="65"/>
      <c r="J83" s="65"/>
      <c r="K83" s="65"/>
      <c r="L83" s="65"/>
      <c r="M83" s="65"/>
      <c r="N83" s="65"/>
      <c r="O83" s="65"/>
      <c r="P83" s="45"/>
      <c r="Q83" s="50">
        <f t="shared" si="44"/>
        <v>0</v>
      </c>
      <c r="R83" s="40"/>
      <c r="S83" s="40"/>
      <c r="T83" s="40"/>
      <c r="U83" s="40"/>
      <c r="V83" s="40"/>
      <c r="W83" s="40"/>
      <c r="X83" s="40"/>
      <c r="Y83" s="40"/>
      <c r="Z83" s="40"/>
    </row>
    <row r="84" spans="2:26" x14ac:dyDescent="0.2">
      <c r="B84" s="76" t="s">
        <v>111</v>
      </c>
      <c r="C84" s="40"/>
      <c r="D84" s="44" t="s">
        <v>161</v>
      </c>
      <c r="E84" s="65"/>
      <c r="F84" s="65"/>
      <c r="G84" s="65"/>
      <c r="H84" s="65"/>
      <c r="I84" s="65"/>
      <c r="J84" s="65"/>
      <c r="K84" s="65"/>
      <c r="L84" s="65"/>
      <c r="M84" s="65"/>
      <c r="N84" s="65"/>
      <c r="O84" s="65"/>
      <c r="P84" s="45"/>
      <c r="Q84" s="50">
        <f t="shared" si="44"/>
        <v>0</v>
      </c>
      <c r="R84" s="40"/>
      <c r="S84" s="40"/>
      <c r="T84" s="40"/>
      <c r="U84" s="40"/>
      <c r="V84" s="40"/>
      <c r="W84" s="40"/>
      <c r="X84" s="40"/>
      <c r="Y84" s="40"/>
      <c r="Z84" s="40"/>
    </row>
    <row r="85" spans="2:26" x14ac:dyDescent="0.2">
      <c r="B85" s="77" t="s">
        <v>152</v>
      </c>
      <c r="C85" s="40"/>
      <c r="E85" s="50">
        <f t="shared" ref="E85:O85" si="46">SUM(E86:E89)</f>
        <v>0</v>
      </c>
      <c r="F85" s="50">
        <f t="shared" si="46"/>
        <v>0</v>
      </c>
      <c r="G85" s="50">
        <f t="shared" si="46"/>
        <v>0</v>
      </c>
      <c r="H85" s="50">
        <f t="shared" si="46"/>
        <v>0</v>
      </c>
      <c r="I85" s="50">
        <f t="shared" si="46"/>
        <v>0</v>
      </c>
      <c r="J85" s="50">
        <f t="shared" si="46"/>
        <v>0</v>
      </c>
      <c r="K85" s="50">
        <f t="shared" si="46"/>
        <v>0</v>
      </c>
      <c r="L85" s="50">
        <f t="shared" si="46"/>
        <v>0</v>
      </c>
      <c r="M85" s="50">
        <f t="shared" si="46"/>
        <v>0</v>
      </c>
      <c r="N85" s="50">
        <f t="shared" si="46"/>
        <v>0</v>
      </c>
      <c r="O85" s="50">
        <f t="shared" si="46"/>
        <v>0</v>
      </c>
      <c r="P85" s="45"/>
      <c r="Q85" s="50">
        <f t="shared" si="44"/>
        <v>0</v>
      </c>
      <c r="R85" s="40"/>
      <c r="S85" s="40"/>
      <c r="T85" s="40"/>
      <c r="U85" s="40"/>
      <c r="V85" s="40"/>
      <c r="W85" s="40"/>
      <c r="X85" s="40"/>
      <c r="Y85" s="40"/>
      <c r="Z85" s="40"/>
    </row>
    <row r="86" spans="2:26" x14ac:dyDescent="0.2">
      <c r="B86" s="76" t="s">
        <v>183</v>
      </c>
      <c r="C86" s="40"/>
      <c r="D86" s="44" t="s">
        <v>161</v>
      </c>
      <c r="E86" s="65"/>
      <c r="F86" s="65"/>
      <c r="G86" s="65"/>
      <c r="H86" s="65"/>
      <c r="I86" s="65"/>
      <c r="J86" s="65"/>
      <c r="K86" s="65"/>
      <c r="L86" s="65"/>
      <c r="M86" s="65"/>
      <c r="N86" s="65"/>
      <c r="O86" s="65"/>
      <c r="P86" s="45"/>
      <c r="Q86" s="50">
        <f t="shared" si="44"/>
        <v>0</v>
      </c>
      <c r="R86" s="40"/>
      <c r="S86" s="40"/>
      <c r="T86" s="40"/>
      <c r="U86" s="40"/>
      <c r="V86" s="40"/>
      <c r="W86" s="40"/>
      <c r="X86" s="40"/>
      <c r="Y86" s="40"/>
      <c r="Z86" s="40"/>
    </row>
    <row r="87" spans="2:26" x14ac:dyDescent="0.2">
      <c r="B87" s="76" t="s">
        <v>184</v>
      </c>
      <c r="C87" s="40"/>
      <c r="D87" s="44" t="s">
        <v>161</v>
      </c>
      <c r="E87" s="65"/>
      <c r="F87" s="65"/>
      <c r="G87" s="65"/>
      <c r="H87" s="65"/>
      <c r="I87" s="65"/>
      <c r="J87" s="65"/>
      <c r="K87" s="65"/>
      <c r="L87" s="65"/>
      <c r="M87" s="65"/>
      <c r="N87" s="65"/>
      <c r="O87" s="65"/>
      <c r="P87" s="45"/>
      <c r="Q87" s="50">
        <f t="shared" si="44"/>
        <v>0</v>
      </c>
      <c r="R87" s="40"/>
      <c r="S87" s="40"/>
      <c r="T87" s="40"/>
      <c r="U87" s="40"/>
      <c r="V87" s="40"/>
      <c r="W87" s="40"/>
      <c r="X87" s="40"/>
      <c r="Y87" s="40"/>
      <c r="Z87" s="40"/>
    </row>
    <row r="88" spans="2:26" x14ac:dyDescent="0.2">
      <c r="B88" s="76" t="s">
        <v>185</v>
      </c>
      <c r="C88" s="40"/>
      <c r="D88" s="44" t="s">
        <v>161</v>
      </c>
      <c r="E88" s="65"/>
      <c r="F88" s="65"/>
      <c r="G88" s="65"/>
      <c r="H88" s="65"/>
      <c r="I88" s="65"/>
      <c r="J88" s="65"/>
      <c r="K88" s="65"/>
      <c r="L88" s="65"/>
      <c r="M88" s="65"/>
      <c r="N88" s="65"/>
      <c r="O88" s="65"/>
      <c r="P88" s="45"/>
      <c r="Q88" s="50">
        <f t="shared" si="44"/>
        <v>0</v>
      </c>
      <c r="R88" s="40"/>
      <c r="S88" s="40"/>
      <c r="T88" s="40"/>
      <c r="U88" s="40"/>
      <c r="V88" s="40"/>
      <c r="W88" s="40"/>
      <c r="X88" s="40"/>
      <c r="Y88" s="40"/>
      <c r="Z88" s="40"/>
    </row>
    <row r="89" spans="2:26" x14ac:dyDescent="0.2">
      <c r="B89" s="76" t="s">
        <v>111</v>
      </c>
      <c r="C89" s="40"/>
      <c r="D89" s="44" t="s">
        <v>161</v>
      </c>
      <c r="E89" s="65"/>
      <c r="F89" s="65"/>
      <c r="G89" s="65"/>
      <c r="H89" s="65"/>
      <c r="I89" s="65"/>
      <c r="J89" s="65"/>
      <c r="K89" s="65"/>
      <c r="L89" s="65"/>
      <c r="M89" s="65"/>
      <c r="N89" s="65"/>
      <c r="O89" s="65"/>
      <c r="P89" s="45"/>
      <c r="Q89" s="50">
        <f t="shared" si="44"/>
        <v>0</v>
      </c>
      <c r="R89" s="40"/>
      <c r="S89" s="40"/>
      <c r="T89" s="40"/>
      <c r="U89" s="40"/>
      <c r="V89" s="40"/>
      <c r="W89" s="40"/>
      <c r="X89" s="40"/>
      <c r="Y89" s="40"/>
      <c r="Z89" s="40"/>
    </row>
    <row r="90" spans="2:26" x14ac:dyDescent="0.2">
      <c r="B90" s="35"/>
      <c r="C90" s="40"/>
      <c r="E90" s="45"/>
      <c r="F90" s="45"/>
      <c r="G90" s="45"/>
      <c r="H90" s="45"/>
      <c r="I90" s="45"/>
      <c r="J90" s="45"/>
      <c r="K90" s="45"/>
      <c r="L90" s="45"/>
      <c r="M90" s="45"/>
      <c r="N90" s="45"/>
      <c r="O90" s="45"/>
      <c r="P90" s="45"/>
      <c r="Q90" s="45"/>
      <c r="R90" s="40"/>
      <c r="S90" s="40"/>
      <c r="T90" s="40"/>
      <c r="U90" s="40"/>
      <c r="V90" s="40"/>
      <c r="W90" s="40"/>
      <c r="X90" s="40"/>
      <c r="Y90" s="40"/>
      <c r="Z90" s="40"/>
    </row>
    <row r="91" spans="2:26" x14ac:dyDescent="0.2">
      <c r="B91" s="64" t="s">
        <v>214</v>
      </c>
      <c r="C91" s="40"/>
      <c r="D91" s="44" t="s">
        <v>161</v>
      </c>
      <c r="E91" s="85"/>
      <c r="F91" s="85"/>
      <c r="G91" s="85"/>
      <c r="H91" s="85"/>
      <c r="I91" s="85"/>
      <c r="J91" s="85"/>
      <c r="K91" s="85"/>
      <c r="L91" s="85"/>
      <c r="M91" s="85"/>
      <c r="N91" s="85"/>
      <c r="O91" s="85"/>
      <c r="P91" s="100"/>
      <c r="Q91" s="50">
        <f>SUM(E91:O91)</f>
        <v>0</v>
      </c>
      <c r="R91" s="40"/>
      <c r="S91" s="40"/>
      <c r="T91" s="40"/>
      <c r="U91" s="40"/>
      <c r="V91" s="40"/>
      <c r="W91" s="40"/>
      <c r="X91" s="40"/>
      <c r="Y91" s="40"/>
      <c r="Z91" s="40"/>
    </row>
    <row r="92" spans="2:26" x14ac:dyDescent="0.2">
      <c r="B92" s="86" t="s">
        <v>212</v>
      </c>
      <c r="C92" s="40"/>
      <c r="D92" s="44" t="s">
        <v>162</v>
      </c>
      <c r="E92" s="81">
        <f t="shared" ref="E92:O92" si="47">E56</f>
        <v>0</v>
      </c>
      <c r="F92" s="81">
        <f t="shared" si="47"/>
        <v>0</v>
      </c>
      <c r="G92" s="81">
        <f t="shared" si="47"/>
        <v>0</v>
      </c>
      <c r="H92" s="81">
        <f t="shared" si="47"/>
        <v>0</v>
      </c>
      <c r="I92" s="81">
        <f t="shared" si="47"/>
        <v>0</v>
      </c>
      <c r="J92" s="81">
        <f t="shared" si="47"/>
        <v>0</v>
      </c>
      <c r="K92" s="81">
        <f t="shared" si="47"/>
        <v>0</v>
      </c>
      <c r="L92" s="81">
        <f t="shared" si="47"/>
        <v>0</v>
      </c>
      <c r="M92" s="81">
        <f t="shared" si="47"/>
        <v>0</v>
      </c>
      <c r="N92" s="81">
        <f t="shared" si="47"/>
        <v>0</v>
      </c>
      <c r="O92" s="81">
        <f t="shared" si="47"/>
        <v>0</v>
      </c>
      <c r="P92" s="45"/>
      <c r="Q92" s="50">
        <f>SUM(E92:O92)</f>
        <v>0</v>
      </c>
      <c r="R92" s="40"/>
      <c r="S92" s="40"/>
      <c r="T92" s="40"/>
      <c r="U92" s="40"/>
      <c r="V92" s="40"/>
      <c r="W92" s="40"/>
      <c r="X92" s="40"/>
      <c r="Y92" s="40"/>
      <c r="Z92" s="40"/>
    </row>
    <row r="93" spans="2:26" x14ac:dyDescent="0.2">
      <c r="B93" s="83"/>
      <c r="C93" s="40"/>
      <c r="E93" s="84"/>
      <c r="F93" s="84"/>
      <c r="G93" s="84"/>
      <c r="H93" s="84"/>
      <c r="I93" s="84"/>
      <c r="J93" s="84"/>
      <c r="K93" s="84"/>
      <c r="L93" s="84"/>
      <c r="M93" s="84"/>
      <c r="N93" s="84"/>
      <c r="O93" s="84"/>
      <c r="P93" s="45"/>
      <c r="Q93" s="45"/>
      <c r="R93" s="40"/>
      <c r="S93" s="40"/>
      <c r="T93" s="40"/>
      <c r="U93" s="40"/>
      <c r="V93" s="40"/>
      <c r="W93" s="40"/>
      <c r="X93" s="40"/>
      <c r="Y93" s="40"/>
      <c r="Z93" s="40"/>
    </row>
    <row r="94" spans="2:26" x14ac:dyDescent="0.2">
      <c r="B94" s="97" t="s">
        <v>209</v>
      </c>
      <c r="D94" s="1"/>
      <c r="E94" s="129">
        <f t="shared" ref="E94:O94" si="48">E29*$E$33</f>
        <v>0</v>
      </c>
      <c r="F94" s="129">
        <f t="shared" si="48"/>
        <v>0</v>
      </c>
      <c r="G94" s="129">
        <f t="shared" si="48"/>
        <v>0</v>
      </c>
      <c r="H94" s="129">
        <f t="shared" si="48"/>
        <v>0</v>
      </c>
      <c r="I94" s="129">
        <f t="shared" si="48"/>
        <v>0</v>
      </c>
      <c r="J94" s="129">
        <f t="shared" si="48"/>
        <v>0</v>
      </c>
      <c r="K94" s="129">
        <f t="shared" si="48"/>
        <v>0</v>
      </c>
      <c r="L94" s="129">
        <f t="shared" si="48"/>
        <v>0</v>
      </c>
      <c r="M94" s="129">
        <f t="shared" si="48"/>
        <v>0</v>
      </c>
      <c r="N94" s="129">
        <f t="shared" si="48"/>
        <v>0</v>
      </c>
      <c r="O94" s="129">
        <f t="shared" si="48"/>
        <v>0</v>
      </c>
      <c r="P94" s="45"/>
      <c r="Q94" s="50">
        <f>SUM(E94:O94)</f>
        <v>0</v>
      </c>
      <c r="R94" s="40"/>
      <c r="S94" s="40"/>
      <c r="T94" s="40"/>
      <c r="U94" s="40"/>
      <c r="V94" s="40"/>
      <c r="W94" s="40"/>
      <c r="X94" s="40"/>
      <c r="Y94" s="40"/>
      <c r="Z94" s="40"/>
    </row>
    <row r="95" spans="2:26" x14ac:dyDescent="0.2">
      <c r="B95" s="83"/>
      <c r="C95" s="40"/>
      <c r="E95" s="84"/>
      <c r="F95" s="84"/>
      <c r="G95" s="84"/>
      <c r="H95" s="84"/>
      <c r="I95" s="84"/>
      <c r="J95" s="84"/>
      <c r="K95" s="84"/>
      <c r="L95" s="84"/>
      <c r="M95" s="84"/>
      <c r="N95" s="84"/>
      <c r="O95" s="84"/>
      <c r="P95" s="45"/>
      <c r="Q95" s="45"/>
      <c r="R95" s="40"/>
      <c r="S95" s="40"/>
      <c r="T95" s="40"/>
      <c r="U95" s="40"/>
      <c r="V95" s="40"/>
      <c r="W95" s="40"/>
      <c r="X95" s="40"/>
      <c r="Y95" s="40"/>
      <c r="Z95" s="40"/>
    </row>
    <row r="96" spans="2:26" x14ac:dyDescent="0.2">
      <c r="B96" s="57" t="s">
        <v>148</v>
      </c>
      <c r="C96" s="40"/>
      <c r="E96" s="81">
        <f t="shared" ref="E96:O96" si="49">E73+E79+E91+E92+E94</f>
        <v>0</v>
      </c>
      <c r="F96" s="81">
        <f t="shared" si="49"/>
        <v>0</v>
      </c>
      <c r="G96" s="81">
        <f t="shared" si="49"/>
        <v>0</v>
      </c>
      <c r="H96" s="81">
        <f t="shared" si="49"/>
        <v>0</v>
      </c>
      <c r="I96" s="81">
        <f t="shared" si="49"/>
        <v>0</v>
      </c>
      <c r="J96" s="81">
        <f t="shared" si="49"/>
        <v>0</v>
      </c>
      <c r="K96" s="81">
        <f t="shared" si="49"/>
        <v>0</v>
      </c>
      <c r="L96" s="81">
        <f t="shared" si="49"/>
        <v>0</v>
      </c>
      <c r="M96" s="81">
        <f t="shared" si="49"/>
        <v>0</v>
      </c>
      <c r="N96" s="81">
        <f t="shared" si="49"/>
        <v>0</v>
      </c>
      <c r="O96" s="81">
        <f t="shared" si="49"/>
        <v>0</v>
      </c>
      <c r="P96" s="45"/>
      <c r="Q96" s="50">
        <f>SUM(E96:O96)</f>
        <v>0</v>
      </c>
      <c r="R96" s="40"/>
      <c r="S96" s="40"/>
      <c r="T96" s="40"/>
      <c r="U96" s="40"/>
      <c r="V96" s="40"/>
      <c r="W96" s="40"/>
      <c r="X96" s="40"/>
      <c r="Y96" s="40"/>
      <c r="Z96" s="40"/>
    </row>
    <row r="97" spans="2:26" x14ac:dyDescent="0.2">
      <c r="B97" s="42"/>
      <c r="C97" s="40"/>
      <c r="E97" s="89"/>
      <c r="F97" s="89"/>
      <c r="G97" s="89"/>
      <c r="H97" s="89"/>
      <c r="I97" s="89"/>
      <c r="J97" s="89"/>
      <c r="K97" s="89"/>
      <c r="L97" s="89"/>
      <c r="M97" s="89"/>
      <c r="N97" s="89"/>
      <c r="O97" s="89"/>
      <c r="P97" s="40"/>
      <c r="Q97" s="45"/>
      <c r="R97" s="40"/>
      <c r="S97" s="40"/>
      <c r="T97" s="40"/>
      <c r="U97" s="40"/>
      <c r="V97" s="40"/>
      <c r="W97" s="40"/>
      <c r="X97" s="40"/>
      <c r="Y97" s="40"/>
      <c r="Z97" s="40"/>
    </row>
    <row r="98" spans="2:26" x14ac:dyDescent="0.2">
      <c r="B98" s="47" t="s">
        <v>157</v>
      </c>
      <c r="C98" s="40"/>
      <c r="E98" s="56" t="s">
        <v>170</v>
      </c>
      <c r="F98" s="40"/>
      <c r="G98" s="40"/>
      <c r="H98" s="40"/>
      <c r="I98" s="40"/>
      <c r="J98" s="40"/>
      <c r="K98" s="40"/>
      <c r="L98" s="40"/>
      <c r="M98" s="40"/>
      <c r="N98" s="40"/>
      <c r="O98" s="40"/>
      <c r="P98" s="40"/>
      <c r="Q98" s="45"/>
      <c r="R98" s="40"/>
      <c r="S98" s="40"/>
      <c r="T98" s="40"/>
      <c r="U98" s="40"/>
      <c r="V98" s="40"/>
      <c r="W98" s="40"/>
      <c r="X98" s="40"/>
      <c r="Y98" s="40"/>
      <c r="Z98" s="40"/>
    </row>
    <row r="99" spans="2:26" x14ac:dyDescent="0.2">
      <c r="B99" s="35"/>
      <c r="C99" s="40"/>
      <c r="E99" s="40"/>
      <c r="F99" s="40"/>
      <c r="G99" s="40"/>
      <c r="H99" s="40"/>
      <c r="I99" s="40"/>
      <c r="J99" s="40"/>
      <c r="K99" s="40"/>
      <c r="L99" s="40"/>
      <c r="M99" s="40"/>
      <c r="N99" s="40"/>
      <c r="O99" s="40"/>
      <c r="P99" s="40"/>
      <c r="Q99" s="45"/>
      <c r="R99" s="40"/>
      <c r="S99" s="40"/>
      <c r="T99" s="40"/>
      <c r="U99" s="40"/>
      <c r="V99" s="40"/>
      <c r="W99" s="40"/>
      <c r="X99" s="40"/>
      <c r="Y99" s="40"/>
      <c r="Z99" s="40"/>
    </row>
    <row r="100" spans="2:26" x14ac:dyDescent="0.2">
      <c r="B100" s="51" t="s">
        <v>158</v>
      </c>
      <c r="C100" s="52"/>
      <c r="D100" s="92"/>
      <c r="E100" s="74">
        <f>E65</f>
        <v>1</v>
      </c>
      <c r="F100" s="74">
        <f t="shared" ref="F100:O100" si="50">F65</f>
        <v>0.94339622641509424</v>
      </c>
      <c r="G100" s="74">
        <f t="shared" si="50"/>
        <v>0.88999644001423983</v>
      </c>
      <c r="H100" s="74">
        <f t="shared" si="50"/>
        <v>0.8396192830323016</v>
      </c>
      <c r="I100" s="74">
        <f t="shared" si="50"/>
        <v>0.79209366323802044</v>
      </c>
      <c r="J100" s="74">
        <f t="shared" si="50"/>
        <v>0.74725817286605689</v>
      </c>
      <c r="K100" s="74">
        <f t="shared" si="50"/>
        <v>0.70496054043967626</v>
      </c>
      <c r="L100" s="74">
        <f t="shared" si="50"/>
        <v>0.66505711362233599</v>
      </c>
      <c r="M100" s="74">
        <f t="shared" si="50"/>
        <v>0.62741237134182648</v>
      </c>
      <c r="N100" s="74">
        <f t="shared" si="50"/>
        <v>0.59189846353002495</v>
      </c>
      <c r="O100" s="74" t="str">
        <f t="shared" si="50"/>
        <v>-</v>
      </c>
      <c r="P100" s="40"/>
      <c r="Q100" s="45"/>
      <c r="R100" s="40"/>
      <c r="S100" s="40"/>
      <c r="T100" s="40"/>
      <c r="U100" s="40"/>
      <c r="V100" s="40"/>
      <c r="W100" s="40"/>
      <c r="X100" s="40"/>
      <c r="Y100" s="40"/>
      <c r="Z100" s="40"/>
    </row>
    <row r="101" spans="2:26" x14ac:dyDescent="0.2">
      <c r="B101" s="51" t="s">
        <v>159</v>
      </c>
      <c r="C101" s="52"/>
      <c r="D101" s="92"/>
      <c r="E101" s="75">
        <f>IFERROR(E96*E100,"-")</f>
        <v>0</v>
      </c>
      <c r="F101" s="75">
        <f t="shared" ref="F101" si="51">IFERROR(F96*F100,"-")</f>
        <v>0</v>
      </c>
      <c r="G101" s="75">
        <f t="shared" ref="G101" si="52">IFERROR(G96*G100,"-")</f>
        <v>0</v>
      </c>
      <c r="H101" s="75">
        <f t="shared" ref="H101" si="53">IFERROR(H96*H100,"-")</f>
        <v>0</v>
      </c>
      <c r="I101" s="75">
        <f t="shared" ref="I101" si="54">IFERROR(I96*I100,"-")</f>
        <v>0</v>
      </c>
      <c r="J101" s="75">
        <f t="shared" ref="J101" si="55">IFERROR(J96*J100,"-")</f>
        <v>0</v>
      </c>
      <c r="K101" s="75">
        <f t="shared" ref="K101" si="56">IFERROR(K96*K100,"-")</f>
        <v>0</v>
      </c>
      <c r="L101" s="75">
        <f t="shared" ref="L101" si="57">IFERROR(L96*L100,"-")</f>
        <v>0</v>
      </c>
      <c r="M101" s="75">
        <f t="shared" ref="M101" si="58">IFERROR(M96*M100,"-")</f>
        <v>0</v>
      </c>
      <c r="N101" s="75">
        <f t="shared" ref="N101" si="59">IFERROR(N96*N100,"-")</f>
        <v>0</v>
      </c>
      <c r="O101" s="75" t="str">
        <f t="shared" ref="O101" si="60">IFERROR(O96*O100,"-")</f>
        <v>-</v>
      </c>
      <c r="P101" s="45"/>
      <c r="Q101" s="50">
        <f>SUM(E101:O101)</f>
        <v>0</v>
      </c>
      <c r="R101" s="40"/>
      <c r="S101" s="40"/>
      <c r="T101" s="40"/>
      <c r="U101" s="40"/>
      <c r="V101" s="40"/>
      <c r="W101" s="40"/>
      <c r="X101" s="40"/>
      <c r="Y101" s="40"/>
      <c r="Z101" s="40"/>
    </row>
    <row r="102" spans="2:26" x14ac:dyDescent="0.2">
      <c r="B102" s="35"/>
      <c r="C102" s="40"/>
      <c r="E102" s="45"/>
      <c r="F102" s="45"/>
      <c r="G102" s="45"/>
      <c r="H102" s="45"/>
      <c r="I102" s="45"/>
      <c r="J102" s="45"/>
      <c r="K102" s="45"/>
      <c r="L102" s="45"/>
      <c r="M102" s="45"/>
      <c r="N102" s="45"/>
      <c r="O102" s="45"/>
      <c r="P102" s="45"/>
      <c r="Q102" s="45"/>
      <c r="R102" s="40"/>
      <c r="S102" s="40"/>
      <c r="T102" s="40"/>
      <c r="U102" s="40"/>
      <c r="V102" s="40"/>
      <c r="W102" s="40"/>
      <c r="X102" s="40"/>
      <c r="Y102" s="40"/>
      <c r="Z102" s="40"/>
    </row>
    <row r="103" spans="2:26" x14ac:dyDescent="0.2">
      <c r="B103" s="47" t="s">
        <v>163</v>
      </c>
      <c r="C103" s="40"/>
      <c r="E103" s="55">
        <f>SUM(E101:O101)</f>
        <v>0</v>
      </c>
      <c r="F103" s="139" t="s">
        <v>216</v>
      </c>
      <c r="G103" s="45"/>
      <c r="H103" s="45"/>
      <c r="I103" s="45"/>
      <c r="J103" s="45"/>
      <c r="K103" s="45"/>
      <c r="L103" s="45"/>
      <c r="M103" s="45"/>
      <c r="N103" s="45"/>
      <c r="O103" s="45"/>
      <c r="P103" s="45"/>
      <c r="Q103" s="45"/>
      <c r="R103" s="40"/>
      <c r="S103" s="40"/>
      <c r="T103" s="40"/>
      <c r="U103" s="40"/>
      <c r="V103" s="40"/>
      <c r="W103" s="40"/>
      <c r="X103" s="40"/>
      <c r="Y103" s="40"/>
      <c r="Z103" s="40"/>
    </row>
    <row r="104" spans="2:26" x14ac:dyDescent="0.2">
      <c r="B104" s="42"/>
      <c r="C104" s="40"/>
      <c r="E104" s="89"/>
      <c r="F104" s="89"/>
      <c r="G104" s="89"/>
      <c r="H104" s="89"/>
      <c r="I104" s="89"/>
      <c r="J104" s="89"/>
      <c r="K104" s="89"/>
      <c r="L104" s="89"/>
      <c r="M104" s="89"/>
      <c r="N104" s="89"/>
      <c r="O104" s="89"/>
      <c r="P104" s="45"/>
      <c r="Q104" s="45"/>
      <c r="R104" s="40"/>
      <c r="S104" s="40"/>
      <c r="T104" s="40"/>
      <c r="U104" s="40"/>
      <c r="V104" s="40"/>
      <c r="W104" s="40"/>
      <c r="X104" s="40"/>
      <c r="Y104" s="40"/>
      <c r="Z104" s="40"/>
    </row>
    <row r="105" spans="2:26" x14ac:dyDescent="0.2">
      <c r="B105" s="57" t="s">
        <v>165</v>
      </c>
      <c r="C105" s="40"/>
      <c r="E105" s="50">
        <f>SUM(E106:E108)</f>
        <v>0</v>
      </c>
      <c r="F105" s="50">
        <f t="shared" ref="F105:O105" si="61">SUM(F106:F108)</f>
        <v>0</v>
      </c>
      <c r="G105" s="50">
        <f t="shared" si="61"/>
        <v>0</v>
      </c>
      <c r="H105" s="50">
        <f t="shared" si="61"/>
        <v>0</v>
      </c>
      <c r="I105" s="50">
        <f t="shared" si="61"/>
        <v>0</v>
      </c>
      <c r="J105" s="50">
        <f t="shared" si="61"/>
        <v>0</v>
      </c>
      <c r="K105" s="50">
        <f t="shared" si="61"/>
        <v>0</v>
      </c>
      <c r="L105" s="50">
        <f t="shared" si="61"/>
        <v>0</v>
      </c>
      <c r="M105" s="50">
        <f t="shared" si="61"/>
        <v>0</v>
      </c>
      <c r="N105" s="50">
        <f t="shared" si="61"/>
        <v>0</v>
      </c>
      <c r="O105" s="50">
        <f t="shared" si="61"/>
        <v>0</v>
      </c>
      <c r="P105" s="45"/>
      <c r="Q105" s="50">
        <f>SUM(E105:O105)</f>
        <v>0</v>
      </c>
      <c r="R105" s="40"/>
      <c r="S105" s="40"/>
      <c r="T105" s="40"/>
      <c r="U105" s="40"/>
      <c r="V105" s="40"/>
      <c r="W105" s="40"/>
      <c r="X105" s="40"/>
      <c r="Y105" s="40"/>
      <c r="Z105" s="40"/>
    </row>
    <row r="106" spans="2:26" x14ac:dyDescent="0.2">
      <c r="B106" s="51" t="s">
        <v>129</v>
      </c>
      <c r="C106" s="52"/>
      <c r="D106" s="92" t="s">
        <v>161</v>
      </c>
      <c r="E106" s="65"/>
      <c r="F106" s="65"/>
      <c r="G106" s="65"/>
      <c r="H106" s="65"/>
      <c r="I106" s="65"/>
      <c r="J106" s="65"/>
      <c r="K106" s="65"/>
      <c r="L106" s="65"/>
      <c r="M106" s="65"/>
      <c r="N106" s="65"/>
      <c r="O106" s="65"/>
      <c r="P106" s="45"/>
      <c r="Q106" s="50">
        <f>SUM(E106:O106)</f>
        <v>0</v>
      </c>
      <c r="R106" s="40"/>
      <c r="S106" s="40"/>
      <c r="T106" s="40"/>
      <c r="U106" s="40"/>
      <c r="V106" s="40"/>
      <c r="W106" s="40"/>
      <c r="X106" s="40"/>
      <c r="Y106" s="40"/>
      <c r="Z106" s="40"/>
    </row>
    <row r="107" spans="2:26" x14ac:dyDescent="0.2">
      <c r="B107" s="51" t="s">
        <v>130</v>
      </c>
      <c r="C107" s="52"/>
      <c r="D107" s="92" t="s">
        <v>161</v>
      </c>
      <c r="E107" s="65"/>
      <c r="F107" s="65"/>
      <c r="G107" s="65"/>
      <c r="H107" s="65"/>
      <c r="I107" s="65"/>
      <c r="J107" s="65"/>
      <c r="K107" s="65"/>
      <c r="L107" s="65"/>
      <c r="M107" s="65"/>
      <c r="N107" s="65"/>
      <c r="O107" s="65"/>
      <c r="P107" s="45"/>
      <c r="Q107" s="50">
        <f>SUM(E107:O107)</f>
        <v>0</v>
      </c>
      <c r="R107" s="40"/>
      <c r="S107" s="40"/>
      <c r="T107" s="40"/>
      <c r="U107" s="40"/>
      <c r="V107" s="40"/>
      <c r="W107" s="40"/>
      <c r="X107" s="40"/>
      <c r="Y107" s="40"/>
      <c r="Z107" s="40"/>
    </row>
    <row r="108" spans="2:26" x14ac:dyDescent="0.2">
      <c r="B108" s="51" t="s">
        <v>131</v>
      </c>
      <c r="C108" s="52"/>
      <c r="D108" s="92" t="s">
        <v>161</v>
      </c>
      <c r="E108" s="65"/>
      <c r="F108" s="65"/>
      <c r="G108" s="65"/>
      <c r="H108" s="65"/>
      <c r="I108" s="65"/>
      <c r="J108" s="65"/>
      <c r="K108" s="65"/>
      <c r="L108" s="65"/>
      <c r="M108" s="65"/>
      <c r="N108" s="65"/>
      <c r="O108" s="65"/>
      <c r="P108" s="45"/>
      <c r="Q108" s="50">
        <f>SUM(E108:O108)</f>
        <v>0</v>
      </c>
      <c r="R108" s="40"/>
      <c r="S108" s="40"/>
      <c r="T108" s="40"/>
      <c r="U108" s="40"/>
      <c r="V108" s="40"/>
      <c r="W108" s="40"/>
      <c r="X108" s="40"/>
      <c r="Y108" s="40"/>
      <c r="Z108" s="40"/>
    </row>
    <row r="109" spans="2:26" x14ac:dyDescent="0.2">
      <c r="B109" s="35"/>
      <c r="C109" s="40"/>
      <c r="E109" s="45"/>
      <c r="F109" s="45"/>
      <c r="G109" s="45"/>
      <c r="H109" s="45"/>
      <c r="I109" s="45"/>
      <c r="J109" s="45"/>
      <c r="K109" s="45"/>
      <c r="L109" s="45"/>
      <c r="M109" s="45"/>
      <c r="N109" s="45"/>
      <c r="O109" s="45"/>
      <c r="P109" s="45"/>
      <c r="Q109" s="45"/>
      <c r="R109" s="40"/>
      <c r="S109" s="40"/>
      <c r="T109" s="40"/>
      <c r="U109" s="40"/>
      <c r="V109" s="40"/>
      <c r="W109" s="40"/>
      <c r="X109" s="40"/>
      <c r="Y109" s="40"/>
      <c r="Z109" s="40"/>
    </row>
    <row r="110" spans="2:26" x14ac:dyDescent="0.2">
      <c r="B110" s="90" t="s">
        <v>166</v>
      </c>
      <c r="C110" s="40"/>
      <c r="E110" s="75">
        <f>IFERROR(E105*E100,"-")</f>
        <v>0</v>
      </c>
      <c r="F110" s="75">
        <f t="shared" ref="F110:O110" si="62">IFERROR(F105*F100,"-")</f>
        <v>0</v>
      </c>
      <c r="G110" s="75">
        <f t="shared" si="62"/>
        <v>0</v>
      </c>
      <c r="H110" s="75">
        <f t="shared" si="62"/>
        <v>0</v>
      </c>
      <c r="I110" s="75">
        <f t="shared" si="62"/>
        <v>0</v>
      </c>
      <c r="J110" s="75">
        <f t="shared" si="62"/>
        <v>0</v>
      </c>
      <c r="K110" s="75">
        <f t="shared" si="62"/>
        <v>0</v>
      </c>
      <c r="L110" s="75">
        <f t="shared" si="62"/>
        <v>0</v>
      </c>
      <c r="M110" s="75">
        <f t="shared" si="62"/>
        <v>0</v>
      </c>
      <c r="N110" s="75">
        <f t="shared" si="62"/>
        <v>0</v>
      </c>
      <c r="O110" s="75" t="str">
        <f t="shared" si="62"/>
        <v>-</v>
      </c>
      <c r="P110" s="45"/>
      <c r="Q110" s="50">
        <f t="shared" ref="Q110:Q115" si="63">SUM(E110:O110)</f>
        <v>0</v>
      </c>
      <c r="R110" s="40"/>
      <c r="S110" s="40"/>
      <c r="T110" s="40"/>
      <c r="U110" s="40"/>
      <c r="V110" s="40"/>
      <c r="W110" s="40"/>
      <c r="X110" s="40"/>
      <c r="Y110" s="40"/>
      <c r="Z110" s="40"/>
    </row>
    <row r="111" spans="2:26" x14ac:dyDescent="0.2">
      <c r="B111" s="35"/>
      <c r="C111" s="40"/>
      <c r="E111" s="45"/>
      <c r="F111" s="45"/>
      <c r="G111" s="45"/>
      <c r="H111" s="45"/>
      <c r="I111" s="45"/>
      <c r="J111" s="45"/>
      <c r="K111" s="45"/>
      <c r="L111" s="45"/>
      <c r="M111" s="45"/>
      <c r="N111" s="45"/>
      <c r="O111" s="45"/>
      <c r="P111" s="45"/>
      <c r="Q111" s="45"/>
      <c r="R111" s="40"/>
      <c r="S111" s="40"/>
      <c r="T111" s="40"/>
      <c r="U111" s="40"/>
      <c r="V111" s="40"/>
      <c r="W111" s="40"/>
      <c r="X111" s="40"/>
      <c r="Y111" s="40"/>
      <c r="Z111" s="40"/>
    </row>
    <row r="112" spans="2:26" x14ac:dyDescent="0.2">
      <c r="B112" s="47" t="s">
        <v>167</v>
      </c>
      <c r="C112" s="40"/>
      <c r="E112" s="55">
        <f>SUM(E110:O110)</f>
        <v>0</v>
      </c>
      <c r="F112" s="139" t="s">
        <v>216</v>
      </c>
      <c r="G112" s="45"/>
      <c r="H112" s="45"/>
      <c r="I112" s="45"/>
      <c r="J112" s="45"/>
      <c r="K112" s="45"/>
      <c r="L112" s="45"/>
      <c r="M112" s="45"/>
      <c r="N112" s="45"/>
      <c r="O112" s="45"/>
      <c r="P112" s="45"/>
      <c r="Q112" s="45"/>
      <c r="R112" s="40"/>
      <c r="S112" s="40"/>
      <c r="T112" s="40"/>
      <c r="U112" s="40"/>
      <c r="V112" s="40"/>
      <c r="W112" s="40"/>
      <c r="X112" s="40"/>
      <c r="Y112" s="40"/>
      <c r="Z112" s="40"/>
    </row>
    <row r="113" spans="2:26" x14ac:dyDescent="0.2">
      <c r="B113" s="35"/>
      <c r="C113" s="40"/>
      <c r="E113" s="45"/>
      <c r="F113" s="45"/>
      <c r="G113" s="45"/>
      <c r="H113" s="45"/>
      <c r="I113" s="45"/>
      <c r="J113" s="45"/>
      <c r="K113" s="45"/>
      <c r="L113" s="45"/>
      <c r="M113" s="45"/>
      <c r="N113" s="45"/>
      <c r="O113" s="45"/>
      <c r="P113" s="45"/>
      <c r="Q113" s="45"/>
      <c r="R113" s="40"/>
      <c r="S113" s="40"/>
      <c r="T113" s="40"/>
      <c r="U113" s="40"/>
      <c r="V113" s="40"/>
      <c r="W113" s="40"/>
      <c r="X113" s="40"/>
      <c r="Y113" s="40"/>
      <c r="Z113" s="40"/>
    </row>
    <row r="114" spans="2:26" x14ac:dyDescent="0.2">
      <c r="B114" s="57" t="s">
        <v>164</v>
      </c>
      <c r="C114" s="40"/>
      <c r="E114" s="50">
        <f>E96+E105</f>
        <v>0</v>
      </c>
      <c r="F114" s="50">
        <f t="shared" ref="F114:O114" si="64">F96+F105</f>
        <v>0</v>
      </c>
      <c r="G114" s="50">
        <f t="shared" si="64"/>
        <v>0</v>
      </c>
      <c r="H114" s="50">
        <f t="shared" si="64"/>
        <v>0</v>
      </c>
      <c r="I114" s="50">
        <f t="shared" si="64"/>
        <v>0</v>
      </c>
      <c r="J114" s="50">
        <f t="shared" si="64"/>
        <v>0</v>
      </c>
      <c r="K114" s="50">
        <f t="shared" si="64"/>
        <v>0</v>
      </c>
      <c r="L114" s="50">
        <f t="shared" si="64"/>
        <v>0</v>
      </c>
      <c r="M114" s="50">
        <f t="shared" si="64"/>
        <v>0</v>
      </c>
      <c r="N114" s="50">
        <f t="shared" si="64"/>
        <v>0</v>
      </c>
      <c r="O114" s="50">
        <f t="shared" si="64"/>
        <v>0</v>
      </c>
      <c r="P114" s="45"/>
      <c r="Q114" s="50">
        <f t="shared" si="63"/>
        <v>0</v>
      </c>
      <c r="R114" s="40"/>
      <c r="S114" s="40"/>
      <c r="T114" s="40"/>
      <c r="U114" s="40"/>
      <c r="V114" s="40"/>
      <c r="W114" s="40"/>
      <c r="X114" s="40"/>
      <c r="Y114" s="40"/>
      <c r="Z114" s="40"/>
    </row>
    <row r="115" spans="2:26" x14ac:dyDescent="0.2">
      <c r="B115" s="51" t="s">
        <v>171</v>
      </c>
      <c r="C115" s="40"/>
      <c r="E115" s="75">
        <f>IFERROR(E114*E100,"-")</f>
        <v>0</v>
      </c>
      <c r="F115" s="75">
        <f t="shared" ref="F115:O115" si="65">IFERROR(F114*F100,"-")</f>
        <v>0</v>
      </c>
      <c r="G115" s="75">
        <f t="shared" si="65"/>
        <v>0</v>
      </c>
      <c r="H115" s="75">
        <f t="shared" si="65"/>
        <v>0</v>
      </c>
      <c r="I115" s="75">
        <f t="shared" si="65"/>
        <v>0</v>
      </c>
      <c r="J115" s="75">
        <f t="shared" si="65"/>
        <v>0</v>
      </c>
      <c r="K115" s="75">
        <f t="shared" si="65"/>
        <v>0</v>
      </c>
      <c r="L115" s="75">
        <f t="shared" si="65"/>
        <v>0</v>
      </c>
      <c r="M115" s="75">
        <f t="shared" si="65"/>
        <v>0</v>
      </c>
      <c r="N115" s="75">
        <f t="shared" si="65"/>
        <v>0</v>
      </c>
      <c r="O115" s="75" t="str">
        <f t="shared" si="65"/>
        <v>-</v>
      </c>
      <c r="P115" s="45"/>
      <c r="Q115" s="50">
        <f t="shared" si="63"/>
        <v>0</v>
      </c>
      <c r="R115" s="40"/>
      <c r="S115" s="40"/>
      <c r="T115" s="40"/>
      <c r="U115" s="40"/>
      <c r="V115" s="40"/>
      <c r="W115" s="40"/>
      <c r="X115" s="40"/>
      <c r="Y115" s="40"/>
      <c r="Z115" s="40"/>
    </row>
    <row r="116" spans="2:26" x14ac:dyDescent="0.2">
      <c r="C116" s="40"/>
      <c r="E116" s="45"/>
      <c r="F116" s="45"/>
      <c r="G116" s="45"/>
      <c r="H116" s="45"/>
      <c r="I116" s="45"/>
      <c r="J116" s="45"/>
      <c r="K116" s="45"/>
      <c r="L116" s="45"/>
      <c r="M116" s="45"/>
      <c r="N116" s="45"/>
      <c r="O116" s="45"/>
      <c r="P116" s="45"/>
      <c r="Q116" s="45"/>
      <c r="R116" s="40"/>
      <c r="S116" s="40"/>
      <c r="T116" s="40"/>
      <c r="U116" s="40"/>
      <c r="V116" s="40"/>
      <c r="W116" s="40"/>
      <c r="X116" s="40"/>
      <c r="Y116" s="40"/>
      <c r="Z116" s="40"/>
    </row>
    <row r="117" spans="2:26" x14ac:dyDescent="0.2">
      <c r="B117" s="54" t="s">
        <v>139</v>
      </c>
      <c r="C117" s="40"/>
      <c r="E117" s="55">
        <f>SUM(E115:O115)</f>
        <v>0</v>
      </c>
      <c r="F117" s="139" t="s">
        <v>216</v>
      </c>
      <c r="G117" s="45"/>
      <c r="H117" s="45"/>
      <c r="I117" s="45"/>
      <c r="J117" s="45"/>
      <c r="K117" s="45"/>
      <c r="L117" s="45"/>
      <c r="M117" s="45"/>
      <c r="N117" s="45"/>
      <c r="O117" s="45"/>
      <c r="P117" s="45"/>
      <c r="Q117" s="45"/>
      <c r="R117" s="40"/>
      <c r="S117" s="40"/>
      <c r="T117" s="40"/>
      <c r="U117" s="40"/>
      <c r="V117" s="40"/>
      <c r="W117" s="40"/>
      <c r="X117" s="40"/>
      <c r="Y117" s="40"/>
      <c r="Z117" s="40"/>
    </row>
    <row r="118" spans="2:26" x14ac:dyDescent="0.2">
      <c r="C118" s="40"/>
      <c r="E118" s="45"/>
      <c r="F118" s="45"/>
      <c r="G118" s="45"/>
      <c r="H118" s="45"/>
      <c r="I118" s="45"/>
      <c r="J118" s="45"/>
      <c r="K118" s="45"/>
      <c r="L118" s="45"/>
      <c r="M118" s="45"/>
      <c r="N118" s="45"/>
      <c r="O118" s="45"/>
      <c r="P118" s="45"/>
      <c r="Q118" s="45"/>
      <c r="R118" s="40"/>
      <c r="S118" s="40"/>
      <c r="T118" s="40"/>
      <c r="U118" s="40"/>
      <c r="V118" s="40"/>
      <c r="W118" s="40"/>
      <c r="X118" s="40"/>
      <c r="Y118" s="40"/>
      <c r="Z118" s="40"/>
    </row>
    <row r="119" spans="2:26" x14ac:dyDescent="0.2">
      <c r="B119" s="107" t="s">
        <v>145</v>
      </c>
      <c r="C119" s="40"/>
      <c r="D119" s="40"/>
      <c r="E119" s="82"/>
      <c r="F119" s="82"/>
      <c r="G119" s="82"/>
      <c r="H119" s="82"/>
      <c r="I119" s="82"/>
      <c r="J119" s="82"/>
      <c r="K119" s="82"/>
      <c r="L119" s="82"/>
      <c r="M119" s="82"/>
      <c r="N119" s="82"/>
      <c r="O119" s="82"/>
      <c r="P119" s="45"/>
      <c r="Q119" s="50">
        <f>SUM(E119:O119)</f>
        <v>0</v>
      </c>
      <c r="R119" s="40"/>
      <c r="S119" s="40"/>
      <c r="T119" s="40"/>
      <c r="U119" s="40"/>
      <c r="V119" s="40"/>
      <c r="W119" s="40"/>
      <c r="X119" s="40"/>
      <c r="Y119" s="40"/>
      <c r="Z119" s="40"/>
    </row>
    <row r="120" spans="2:26" x14ac:dyDescent="0.2">
      <c r="C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2:26" x14ac:dyDescent="0.2"/>
  </sheetData>
  <mergeCells count="1">
    <mergeCell ref="E2:G2"/>
  </mergeCells>
  <conditionalFormatting sqref="B5:Q119">
    <cfRule type="expression" dxfId="3" priority="1">
      <formula>$E$2="NEAIZPILDĪT"</formula>
    </cfRule>
  </conditionalFormatting>
  <conditionalFormatting sqref="E2:G2">
    <cfRule type="cellIs" dxfId="2" priority="3" operator="equal">
      <formula>"NEAIZPILDĪT"</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B1:O171"/>
  <sheetViews>
    <sheetView topLeftCell="A8" zoomScaleNormal="100" zoomScaleSheetLayoutView="100" workbookViewId="0">
      <selection activeCell="H52" sqref="H52:H61"/>
    </sheetView>
  </sheetViews>
  <sheetFormatPr defaultColWidth="8.85546875" defaultRowHeight="12" outlineLevelRow="1" outlineLevelCol="1" x14ac:dyDescent="0.2"/>
  <cols>
    <col min="1" max="1" width="5" style="1" customWidth="1"/>
    <col min="2" max="2" width="20" style="1" bestFit="1" customWidth="1"/>
    <col min="3" max="3" width="8.7109375" style="1" customWidth="1"/>
    <col min="4" max="4" width="16.28515625" style="1" customWidth="1"/>
    <col min="5" max="5" width="14.85546875" style="1" customWidth="1"/>
    <col min="6" max="6" width="10.28515625" style="1" customWidth="1"/>
    <col min="7" max="7" width="11.7109375" style="1" customWidth="1"/>
    <col min="8" max="8" width="8.85546875" style="1" customWidth="1"/>
    <col min="9" max="9" width="11" style="1" customWidth="1"/>
    <col min="10" max="10" width="12.42578125" style="1" customWidth="1"/>
    <col min="11" max="11" width="13.7109375" style="1" customWidth="1"/>
    <col min="12" max="12" width="15.28515625" style="1" customWidth="1"/>
    <col min="13" max="13" width="8.140625" style="1" customWidth="1"/>
    <col min="14" max="14" width="8.85546875" style="136" hidden="1" customWidth="1" outlineLevel="1"/>
    <col min="15" max="15" width="8.7109375" style="1" customWidth="1" collapsed="1"/>
    <col min="16" max="16384" width="8.85546875" style="1"/>
  </cols>
  <sheetData>
    <row r="1" spans="2:14" x14ac:dyDescent="0.2">
      <c r="N1" s="26"/>
    </row>
    <row r="2" spans="2:14" ht="15" x14ac:dyDescent="0.25">
      <c r="B2" s="516" t="s">
        <v>103</v>
      </c>
      <c r="C2" s="516"/>
      <c r="D2" s="516"/>
      <c r="E2" s="516"/>
      <c r="F2" s="516"/>
      <c r="G2" s="516"/>
      <c r="H2" s="516"/>
      <c r="I2" s="516"/>
      <c r="J2" s="516"/>
      <c r="K2" s="516"/>
      <c r="L2" s="516"/>
      <c r="N2" s="26"/>
    </row>
    <row r="3" spans="2:14" x14ac:dyDescent="0.2">
      <c r="N3" s="26"/>
    </row>
    <row r="4" spans="2:14" ht="12.75" x14ac:dyDescent="0.2">
      <c r="B4" s="104" t="s">
        <v>104</v>
      </c>
      <c r="C4" s="528" t="s">
        <v>238</v>
      </c>
      <c r="D4" s="528"/>
      <c r="E4" s="528"/>
      <c r="F4" s="528"/>
      <c r="G4" s="528"/>
      <c r="H4" s="528"/>
      <c r="I4" s="528"/>
      <c r="J4" s="528"/>
      <c r="K4" s="528"/>
      <c r="L4" s="528"/>
      <c r="N4" s="162" t="s">
        <v>122</v>
      </c>
    </row>
    <row r="5" spans="2:14" ht="36" outlineLevel="1" x14ac:dyDescent="0.2">
      <c r="B5" s="10" t="s">
        <v>105</v>
      </c>
      <c r="C5" s="10" t="s">
        <v>113</v>
      </c>
      <c r="D5" s="10" t="s">
        <v>132</v>
      </c>
      <c r="E5" s="10" t="s">
        <v>114</v>
      </c>
      <c r="F5" s="10" t="s">
        <v>115</v>
      </c>
      <c r="G5" s="10" t="s">
        <v>116</v>
      </c>
      <c r="H5" s="10" t="s">
        <v>117</v>
      </c>
      <c r="I5" s="10" t="s">
        <v>119</v>
      </c>
      <c r="J5" s="10" t="s">
        <v>118</v>
      </c>
      <c r="K5" s="10" t="s">
        <v>120</v>
      </c>
      <c r="L5" s="10" t="s">
        <v>121</v>
      </c>
      <c r="M5" s="120"/>
      <c r="N5" s="162" t="s">
        <v>123</v>
      </c>
    </row>
    <row r="6" spans="2:14" outlineLevel="1" x14ac:dyDescent="0.2">
      <c r="B6" s="31" t="s">
        <v>106</v>
      </c>
      <c r="C6" s="32"/>
      <c r="D6" s="32"/>
      <c r="E6" s="32"/>
      <c r="F6" s="32"/>
      <c r="G6" s="32"/>
      <c r="H6" s="32"/>
      <c r="I6" s="32"/>
      <c r="J6" s="32"/>
      <c r="K6" s="32"/>
      <c r="L6" s="33"/>
      <c r="N6" s="162" t="s">
        <v>124</v>
      </c>
    </row>
    <row r="7" spans="2:14" ht="36" outlineLevel="1" x14ac:dyDescent="0.2">
      <c r="B7" s="30" t="s">
        <v>321</v>
      </c>
      <c r="C7" s="109" t="s">
        <v>122</v>
      </c>
      <c r="D7" s="30" t="s">
        <v>149</v>
      </c>
      <c r="E7" s="111">
        <f>NPV_Bāze_I!AA15</f>
        <v>-9292554.7935233619</v>
      </c>
      <c r="F7" s="112">
        <v>0.1</v>
      </c>
      <c r="G7" s="112">
        <v>0.3</v>
      </c>
      <c r="H7" s="113"/>
      <c r="I7" s="112">
        <v>0</v>
      </c>
      <c r="J7" s="113">
        <f>1-I7</f>
        <v>1</v>
      </c>
      <c r="K7" s="50">
        <f>E7*H7*I7</f>
        <v>0</v>
      </c>
      <c r="L7" s="50">
        <f>E7*H7*J7</f>
        <v>0</v>
      </c>
      <c r="N7" s="26"/>
    </row>
    <row r="8" spans="2:14" ht="26.1" customHeight="1" outlineLevel="1" x14ac:dyDescent="0.2">
      <c r="B8" s="30" t="s">
        <v>322</v>
      </c>
      <c r="C8" s="109" t="s">
        <v>122</v>
      </c>
      <c r="D8" s="30" t="s">
        <v>149</v>
      </c>
      <c r="E8" s="111">
        <f>E7</f>
        <v>-9292554.7935233619</v>
      </c>
      <c r="F8" s="112">
        <v>0.1</v>
      </c>
      <c r="G8" s="112">
        <f>G7</f>
        <v>0.3</v>
      </c>
      <c r="H8" s="113"/>
      <c r="I8" s="112">
        <v>0</v>
      </c>
      <c r="J8" s="113">
        <f t="shared" ref="J8:J11" si="0">1-I8</f>
        <v>1</v>
      </c>
      <c r="K8" s="50">
        <f t="shared" ref="K8:K11" si="1">E8*H8*I8</f>
        <v>0</v>
      </c>
      <c r="L8" s="50">
        <f t="shared" ref="L8:L11" si="2">E8*H8*J8</f>
        <v>0</v>
      </c>
      <c r="M8" s="100"/>
      <c r="N8" s="26"/>
    </row>
    <row r="9" spans="2:14" ht="24.6" customHeight="1" outlineLevel="1" x14ac:dyDescent="0.2">
      <c r="B9" s="30" t="s">
        <v>323</v>
      </c>
      <c r="C9" s="109" t="s">
        <v>122</v>
      </c>
      <c r="D9" s="30" t="s">
        <v>149</v>
      </c>
      <c r="E9" s="111">
        <f>E8</f>
        <v>-9292554.7935233619</v>
      </c>
      <c r="F9" s="112">
        <v>0.1</v>
      </c>
      <c r="G9" s="112">
        <f>G8</f>
        <v>0.3</v>
      </c>
      <c r="H9" s="113"/>
      <c r="I9" s="112">
        <v>0</v>
      </c>
      <c r="J9" s="113">
        <f t="shared" si="0"/>
        <v>1</v>
      </c>
      <c r="K9" s="50">
        <f t="shared" si="1"/>
        <v>0</v>
      </c>
      <c r="L9" s="50">
        <f t="shared" si="2"/>
        <v>0</v>
      </c>
      <c r="N9" s="26"/>
    </row>
    <row r="10" spans="2:14" ht="8.1" hidden="1" customHeight="1" outlineLevel="1" x14ac:dyDescent="0.2">
      <c r="B10" s="30" t="s">
        <v>246</v>
      </c>
      <c r="C10" s="109"/>
      <c r="D10" s="30"/>
      <c r="E10" s="111"/>
      <c r="F10" s="112"/>
      <c r="G10" s="112"/>
      <c r="H10" s="113">
        <f t="shared" ref="H10:H11" si="3">F10*G10</f>
        <v>0</v>
      </c>
      <c r="I10" s="112"/>
      <c r="J10" s="113">
        <f t="shared" si="0"/>
        <v>1</v>
      </c>
      <c r="K10" s="50">
        <f t="shared" si="1"/>
        <v>0</v>
      </c>
      <c r="L10" s="50">
        <f t="shared" si="2"/>
        <v>0</v>
      </c>
      <c r="N10" s="26"/>
    </row>
    <row r="11" spans="2:14" ht="11.65" hidden="1" customHeight="1" outlineLevel="1" x14ac:dyDescent="0.2">
      <c r="B11" s="30" t="s">
        <v>111</v>
      </c>
      <c r="C11" s="109"/>
      <c r="D11" s="30"/>
      <c r="E11" s="111"/>
      <c r="F11" s="112"/>
      <c r="G11" s="112"/>
      <c r="H11" s="113">
        <f t="shared" si="3"/>
        <v>0</v>
      </c>
      <c r="I11" s="112"/>
      <c r="J11" s="113">
        <f t="shared" si="0"/>
        <v>1</v>
      </c>
      <c r="K11" s="50">
        <f t="shared" si="1"/>
        <v>0</v>
      </c>
      <c r="L11" s="50">
        <f t="shared" si="2"/>
        <v>0</v>
      </c>
      <c r="N11" s="26"/>
    </row>
    <row r="12" spans="2:14" outlineLevel="1" x14ac:dyDescent="0.2">
      <c r="B12" s="31" t="s">
        <v>112</v>
      </c>
      <c r="C12" s="110"/>
      <c r="D12" s="32"/>
      <c r="E12" s="114"/>
      <c r="F12" s="114"/>
      <c r="G12" s="114"/>
      <c r="H12" s="114"/>
      <c r="I12" s="114"/>
      <c r="J12" s="114"/>
      <c r="K12" s="114"/>
      <c r="L12" s="115"/>
      <c r="N12" s="26"/>
    </row>
    <row r="13" spans="2:14" ht="24" outlineLevel="1" x14ac:dyDescent="0.2">
      <c r="B13" s="30" t="s">
        <v>324</v>
      </c>
      <c r="C13" s="109" t="s">
        <v>123</v>
      </c>
      <c r="D13" s="30" t="s">
        <v>150</v>
      </c>
      <c r="E13" s="111">
        <f>NPV_Bāze_I!AA21</f>
        <v>-36583031.942063995</v>
      </c>
      <c r="F13" s="112">
        <v>0.1</v>
      </c>
      <c r="G13" s="112">
        <f>G9</f>
        <v>0.3</v>
      </c>
      <c r="H13" s="113"/>
      <c r="I13" s="112">
        <v>0</v>
      </c>
      <c r="J13" s="113">
        <f>1-I13</f>
        <v>1</v>
      </c>
      <c r="K13" s="50">
        <f>E13*H13*I13</f>
        <v>0</v>
      </c>
      <c r="L13" s="50">
        <f>E13*H13*J13</f>
        <v>0</v>
      </c>
      <c r="N13" s="26"/>
    </row>
    <row r="14" spans="2:14" ht="24" outlineLevel="1" x14ac:dyDescent="0.2">
      <c r="B14" s="30" t="s">
        <v>325</v>
      </c>
      <c r="C14" s="109" t="s">
        <v>123</v>
      </c>
      <c r="D14" s="30" t="s">
        <v>150</v>
      </c>
      <c r="E14" s="111">
        <f>E13</f>
        <v>-36583031.942063995</v>
      </c>
      <c r="F14" s="112">
        <v>0.1</v>
      </c>
      <c r="G14" s="112">
        <f>G13</f>
        <v>0.3</v>
      </c>
      <c r="H14" s="113"/>
      <c r="I14" s="112">
        <v>0</v>
      </c>
      <c r="J14" s="113">
        <f t="shared" ref="J14:J17" si="4">1-I14</f>
        <v>1</v>
      </c>
      <c r="K14" s="50">
        <f t="shared" ref="K14:K17" si="5">E14*H14*I14</f>
        <v>0</v>
      </c>
      <c r="L14" s="50">
        <f t="shared" ref="L14:L17" si="6">E14*H14*J14</f>
        <v>0</v>
      </c>
      <c r="N14" s="26"/>
    </row>
    <row r="15" spans="2:14" ht="27.95" customHeight="1" outlineLevel="1" x14ac:dyDescent="0.2">
      <c r="B15" s="30" t="s">
        <v>326</v>
      </c>
      <c r="C15" s="109" t="s">
        <v>123</v>
      </c>
      <c r="D15" s="30" t="s">
        <v>150</v>
      </c>
      <c r="E15" s="111">
        <f>E14</f>
        <v>-36583031.942063995</v>
      </c>
      <c r="F15" s="112">
        <v>0.1</v>
      </c>
      <c r="G15" s="112">
        <f t="shared" ref="G15:G16" si="7">G14</f>
        <v>0.3</v>
      </c>
      <c r="H15" s="113"/>
      <c r="I15" s="112">
        <v>0</v>
      </c>
      <c r="J15" s="113">
        <f>1-I15</f>
        <v>1</v>
      </c>
      <c r="K15" s="50">
        <f t="shared" si="5"/>
        <v>0</v>
      </c>
      <c r="L15" s="50">
        <f t="shared" si="6"/>
        <v>0</v>
      </c>
      <c r="N15" s="26"/>
    </row>
    <row r="16" spans="2:14" ht="24.95" customHeight="1" outlineLevel="1" x14ac:dyDescent="0.2">
      <c r="B16" s="30" t="s">
        <v>327</v>
      </c>
      <c r="C16" s="109" t="s">
        <v>124</v>
      </c>
      <c r="D16" s="30" t="s">
        <v>153</v>
      </c>
      <c r="E16" s="111">
        <f>-NPV_Bāze_I!AA33</f>
        <v>-50813501.384627678</v>
      </c>
      <c r="F16" s="112">
        <v>0.1</v>
      </c>
      <c r="G16" s="112">
        <f t="shared" si="7"/>
        <v>0.3</v>
      </c>
      <c r="H16" s="113"/>
      <c r="I16" s="112">
        <v>0</v>
      </c>
      <c r="J16" s="113">
        <f t="shared" si="4"/>
        <v>1</v>
      </c>
      <c r="K16" s="50">
        <f t="shared" si="5"/>
        <v>0</v>
      </c>
      <c r="L16" s="50">
        <f t="shared" si="6"/>
        <v>0</v>
      </c>
      <c r="N16" s="26"/>
    </row>
    <row r="17" spans="2:14" ht="14.1" hidden="1" customHeight="1" outlineLevel="1" x14ac:dyDescent="0.2">
      <c r="B17" s="30" t="s">
        <v>111</v>
      </c>
      <c r="C17" s="109"/>
      <c r="D17" s="30"/>
      <c r="E17" s="116"/>
      <c r="F17" s="112"/>
      <c r="G17" s="112"/>
      <c r="H17" s="113">
        <f t="shared" ref="H17" si="8">F17*G17</f>
        <v>0</v>
      </c>
      <c r="I17" s="112">
        <v>0</v>
      </c>
      <c r="J17" s="113">
        <f t="shared" si="4"/>
        <v>1</v>
      </c>
      <c r="K17" s="50">
        <f t="shared" si="5"/>
        <v>0</v>
      </c>
      <c r="L17" s="50">
        <f t="shared" si="6"/>
        <v>0</v>
      </c>
      <c r="N17" s="26"/>
    </row>
    <row r="18" spans="2:14" x14ac:dyDescent="0.2">
      <c r="B18" s="121"/>
      <c r="C18" s="121"/>
      <c r="D18" s="121"/>
      <c r="E18" s="121"/>
      <c r="N18" s="26"/>
    </row>
    <row r="19" spans="2:14" ht="12.75" hidden="1" x14ac:dyDescent="0.2">
      <c r="B19" s="104" t="s">
        <v>104</v>
      </c>
      <c r="C19" s="528" t="s">
        <v>239</v>
      </c>
      <c r="D19" s="528"/>
      <c r="E19" s="528"/>
      <c r="F19" s="528"/>
      <c r="G19" s="528"/>
      <c r="H19" s="528"/>
      <c r="I19" s="528"/>
      <c r="J19" s="528"/>
      <c r="K19" s="528"/>
      <c r="L19" s="528"/>
      <c r="N19" s="162" t="s">
        <v>122</v>
      </c>
    </row>
    <row r="20" spans="2:14" ht="36" hidden="1" outlineLevel="1" x14ac:dyDescent="0.2">
      <c r="B20" s="10" t="s">
        <v>105</v>
      </c>
      <c r="C20" s="10" t="s">
        <v>113</v>
      </c>
      <c r="D20" s="10" t="s">
        <v>132</v>
      </c>
      <c r="E20" s="10" t="s">
        <v>114</v>
      </c>
      <c r="F20" s="10" t="s">
        <v>115</v>
      </c>
      <c r="G20" s="10" t="s">
        <v>116</v>
      </c>
      <c r="H20" s="10" t="s">
        <v>117</v>
      </c>
      <c r="I20" s="10" t="s">
        <v>119</v>
      </c>
      <c r="J20" s="10" t="s">
        <v>118</v>
      </c>
      <c r="K20" s="10" t="s">
        <v>120</v>
      </c>
      <c r="L20" s="10" t="s">
        <v>121</v>
      </c>
      <c r="M20" s="120"/>
      <c r="N20" s="162" t="s">
        <v>123</v>
      </c>
    </row>
    <row r="21" spans="2:14" hidden="1" outlineLevel="1" x14ac:dyDescent="0.2">
      <c r="B21" s="31" t="s">
        <v>106</v>
      </c>
      <c r="C21" s="32"/>
      <c r="D21" s="32"/>
      <c r="E21" s="32"/>
      <c r="F21" s="32"/>
      <c r="G21" s="32"/>
      <c r="H21" s="32"/>
      <c r="I21" s="32"/>
      <c r="J21" s="32"/>
      <c r="K21" s="32"/>
      <c r="L21" s="33"/>
      <c r="N21" s="162" t="s">
        <v>124</v>
      </c>
    </row>
    <row r="22" spans="2:14" hidden="1" outlineLevel="1" x14ac:dyDescent="0.2">
      <c r="B22" s="30" t="s">
        <v>107</v>
      </c>
      <c r="C22" s="109"/>
      <c r="D22" s="30"/>
      <c r="E22" s="111"/>
      <c r="F22" s="112"/>
      <c r="G22" s="112"/>
      <c r="H22" s="113">
        <f>F22*G22</f>
        <v>0</v>
      </c>
      <c r="I22" s="112"/>
      <c r="J22" s="113">
        <f>1-I22</f>
        <v>1</v>
      </c>
      <c r="K22" s="50">
        <f>E22*H22*I22</f>
        <v>0</v>
      </c>
      <c r="L22" s="50">
        <f>E22*H22*J22</f>
        <v>0</v>
      </c>
      <c r="N22" s="26"/>
    </row>
    <row r="23" spans="2:14" hidden="1" outlineLevel="1" x14ac:dyDescent="0.2">
      <c r="B23" s="30" t="s">
        <v>108</v>
      </c>
      <c r="C23" s="109"/>
      <c r="D23" s="30"/>
      <c r="E23" s="111"/>
      <c r="F23" s="112"/>
      <c r="G23" s="112"/>
      <c r="H23" s="113">
        <f t="shared" ref="H23:H26" si="9">F23*G23</f>
        <v>0</v>
      </c>
      <c r="I23" s="112"/>
      <c r="J23" s="113">
        <f t="shared" ref="J23:J26" si="10">1-I23</f>
        <v>1</v>
      </c>
      <c r="K23" s="50">
        <f t="shared" ref="K23:K26" si="11">E23*H23*I23</f>
        <v>0</v>
      </c>
      <c r="L23" s="50">
        <f t="shared" ref="L23:L26" si="12">E23*H23*J23</f>
        <v>0</v>
      </c>
      <c r="N23" s="26"/>
    </row>
    <row r="24" spans="2:14" hidden="1" outlineLevel="1" x14ac:dyDescent="0.2">
      <c r="B24" s="30" t="s">
        <v>109</v>
      </c>
      <c r="C24" s="109"/>
      <c r="D24" s="30"/>
      <c r="E24" s="111"/>
      <c r="F24" s="112"/>
      <c r="G24" s="112"/>
      <c r="H24" s="113">
        <f t="shared" si="9"/>
        <v>0</v>
      </c>
      <c r="I24" s="112"/>
      <c r="J24" s="113">
        <f t="shared" si="10"/>
        <v>1</v>
      </c>
      <c r="K24" s="50">
        <f t="shared" si="11"/>
        <v>0</v>
      </c>
      <c r="L24" s="50">
        <f t="shared" si="12"/>
        <v>0</v>
      </c>
      <c r="N24" s="26"/>
    </row>
    <row r="25" spans="2:14" hidden="1" outlineLevel="1" x14ac:dyDescent="0.2">
      <c r="B25" s="30" t="s">
        <v>110</v>
      </c>
      <c r="C25" s="109"/>
      <c r="D25" s="30"/>
      <c r="E25" s="111"/>
      <c r="F25" s="112"/>
      <c r="G25" s="112"/>
      <c r="H25" s="113">
        <f t="shared" si="9"/>
        <v>0</v>
      </c>
      <c r="I25" s="112"/>
      <c r="J25" s="113">
        <f t="shared" si="10"/>
        <v>1</v>
      </c>
      <c r="K25" s="50">
        <f t="shared" si="11"/>
        <v>0</v>
      </c>
      <c r="L25" s="50">
        <f t="shared" si="12"/>
        <v>0</v>
      </c>
      <c r="N25" s="26"/>
    </row>
    <row r="26" spans="2:14" hidden="1" outlineLevel="1" x14ac:dyDescent="0.2">
      <c r="B26" s="30" t="s">
        <v>111</v>
      </c>
      <c r="C26" s="109"/>
      <c r="D26" s="30"/>
      <c r="E26" s="111"/>
      <c r="F26" s="112"/>
      <c r="G26" s="112"/>
      <c r="H26" s="113">
        <f t="shared" si="9"/>
        <v>0</v>
      </c>
      <c r="I26" s="112"/>
      <c r="J26" s="113">
        <f t="shared" si="10"/>
        <v>1</v>
      </c>
      <c r="K26" s="50">
        <f t="shared" si="11"/>
        <v>0</v>
      </c>
      <c r="L26" s="50">
        <f t="shared" si="12"/>
        <v>0</v>
      </c>
      <c r="N26" s="26"/>
    </row>
    <row r="27" spans="2:14" hidden="1" outlineLevel="1" x14ac:dyDescent="0.2">
      <c r="B27" s="31" t="s">
        <v>112</v>
      </c>
      <c r="C27" s="110"/>
      <c r="D27" s="32"/>
      <c r="E27" s="114"/>
      <c r="F27" s="114"/>
      <c r="G27" s="114"/>
      <c r="H27" s="114"/>
      <c r="I27" s="114"/>
      <c r="J27" s="114"/>
      <c r="K27" s="114"/>
      <c r="L27" s="115"/>
      <c r="N27" s="26"/>
    </row>
    <row r="28" spans="2:14" hidden="1" outlineLevel="1" x14ac:dyDescent="0.2">
      <c r="B28" s="30" t="s">
        <v>107</v>
      </c>
      <c r="C28" s="109"/>
      <c r="D28" s="30"/>
      <c r="E28" s="116"/>
      <c r="F28" s="112"/>
      <c r="G28" s="112"/>
      <c r="H28" s="113">
        <f>F28*G28</f>
        <v>0</v>
      </c>
      <c r="I28" s="112"/>
      <c r="J28" s="113">
        <f>1-I28</f>
        <v>1</v>
      </c>
      <c r="K28" s="50">
        <f>E28*H28*I28</f>
        <v>0</v>
      </c>
      <c r="L28" s="50">
        <f>E28*H28*J28</f>
        <v>0</v>
      </c>
      <c r="N28" s="26"/>
    </row>
    <row r="29" spans="2:14" hidden="1" outlineLevel="1" x14ac:dyDescent="0.2">
      <c r="B29" s="30" t="s">
        <v>108</v>
      </c>
      <c r="C29" s="109"/>
      <c r="D29" s="30"/>
      <c r="E29" s="116"/>
      <c r="F29" s="112"/>
      <c r="G29" s="112"/>
      <c r="H29" s="113">
        <f t="shared" ref="H29:H32" si="13">F29*G29</f>
        <v>0</v>
      </c>
      <c r="I29" s="112"/>
      <c r="J29" s="113">
        <f t="shared" ref="J29:J32" si="14">1-I29</f>
        <v>1</v>
      </c>
      <c r="K29" s="50">
        <f t="shared" ref="K29:K32" si="15">E29*H29*I29</f>
        <v>0</v>
      </c>
      <c r="L29" s="50">
        <f t="shared" ref="L29:L32" si="16">E29*H29*J29</f>
        <v>0</v>
      </c>
      <c r="N29" s="26"/>
    </row>
    <row r="30" spans="2:14" hidden="1" outlineLevel="1" x14ac:dyDescent="0.2">
      <c r="B30" s="30" t="s">
        <v>109</v>
      </c>
      <c r="C30" s="109"/>
      <c r="D30" s="30"/>
      <c r="E30" s="116"/>
      <c r="F30" s="112"/>
      <c r="G30" s="112"/>
      <c r="H30" s="113">
        <f t="shared" si="13"/>
        <v>0</v>
      </c>
      <c r="I30" s="112"/>
      <c r="J30" s="113">
        <f t="shared" si="14"/>
        <v>1</v>
      </c>
      <c r="K30" s="50">
        <f t="shared" si="15"/>
        <v>0</v>
      </c>
      <c r="L30" s="50">
        <f t="shared" si="16"/>
        <v>0</v>
      </c>
      <c r="N30" s="26"/>
    </row>
    <row r="31" spans="2:14" hidden="1" outlineLevel="1" x14ac:dyDescent="0.2">
      <c r="B31" s="30" t="s">
        <v>110</v>
      </c>
      <c r="C31" s="109"/>
      <c r="D31" s="30"/>
      <c r="E31" s="116"/>
      <c r="F31" s="112"/>
      <c r="G31" s="112"/>
      <c r="H31" s="113">
        <f t="shared" si="13"/>
        <v>0</v>
      </c>
      <c r="I31" s="112"/>
      <c r="J31" s="113">
        <f t="shared" si="14"/>
        <v>1</v>
      </c>
      <c r="K31" s="50">
        <f t="shared" si="15"/>
        <v>0</v>
      </c>
      <c r="L31" s="50">
        <f t="shared" si="16"/>
        <v>0</v>
      </c>
      <c r="N31" s="26"/>
    </row>
    <row r="32" spans="2:14" hidden="1" outlineLevel="1" x14ac:dyDescent="0.2">
      <c r="B32" s="30" t="s">
        <v>111</v>
      </c>
      <c r="C32" s="109"/>
      <c r="D32" s="30"/>
      <c r="E32" s="116"/>
      <c r="F32" s="112"/>
      <c r="G32" s="112"/>
      <c r="H32" s="113">
        <f t="shared" si="13"/>
        <v>0</v>
      </c>
      <c r="I32" s="112"/>
      <c r="J32" s="113">
        <f t="shared" si="14"/>
        <v>1</v>
      </c>
      <c r="K32" s="50">
        <f t="shared" si="15"/>
        <v>0</v>
      </c>
      <c r="L32" s="50">
        <f t="shared" si="16"/>
        <v>0</v>
      </c>
      <c r="N32" s="26"/>
    </row>
    <row r="33" spans="2:14" hidden="1" collapsed="1" x14ac:dyDescent="0.2">
      <c r="B33" s="121"/>
      <c r="C33" s="121"/>
      <c r="D33" s="121"/>
      <c r="E33" s="121"/>
      <c r="N33" s="26"/>
    </row>
    <row r="34" spans="2:14" ht="12.75" hidden="1" x14ac:dyDescent="0.2">
      <c r="B34" s="104" t="s">
        <v>104</v>
      </c>
      <c r="C34" s="523" t="s">
        <v>125</v>
      </c>
      <c r="D34" s="524"/>
      <c r="E34" s="524"/>
      <c r="F34" s="524"/>
      <c r="G34" s="524"/>
      <c r="H34" s="524"/>
      <c r="I34" s="524"/>
      <c r="J34" s="524"/>
      <c r="K34" s="524"/>
      <c r="L34" s="525"/>
      <c r="N34" s="26"/>
    </row>
    <row r="35" spans="2:14" ht="36" hidden="1" outlineLevel="1" x14ac:dyDescent="0.2">
      <c r="B35" s="10" t="s">
        <v>105</v>
      </c>
      <c r="C35" s="10" t="s">
        <v>113</v>
      </c>
      <c r="D35" s="10" t="s">
        <v>132</v>
      </c>
      <c r="E35" s="10" t="s">
        <v>114</v>
      </c>
      <c r="F35" s="10" t="s">
        <v>115</v>
      </c>
      <c r="G35" s="10" t="s">
        <v>116</v>
      </c>
      <c r="H35" s="10" t="s">
        <v>117</v>
      </c>
      <c r="I35" s="10" t="s">
        <v>119</v>
      </c>
      <c r="J35" s="10" t="s">
        <v>118</v>
      </c>
      <c r="K35" s="10" t="s">
        <v>120</v>
      </c>
      <c r="L35" s="10" t="s">
        <v>121</v>
      </c>
      <c r="N35" s="26"/>
    </row>
    <row r="36" spans="2:14" hidden="1" outlineLevel="1" x14ac:dyDescent="0.2">
      <c r="B36" s="31" t="s">
        <v>106</v>
      </c>
      <c r="C36" s="32"/>
      <c r="D36" s="32"/>
      <c r="E36" s="32"/>
      <c r="F36" s="32"/>
      <c r="G36" s="32"/>
      <c r="H36" s="32"/>
      <c r="I36" s="32"/>
      <c r="J36" s="32"/>
      <c r="K36" s="32"/>
      <c r="L36" s="33"/>
      <c r="N36" s="26"/>
    </row>
    <row r="37" spans="2:14" hidden="1" outlineLevel="1" x14ac:dyDescent="0.2">
      <c r="B37" s="30" t="s">
        <v>107</v>
      </c>
      <c r="C37" s="109"/>
      <c r="D37" s="30"/>
      <c r="E37" s="111"/>
      <c r="F37" s="112"/>
      <c r="G37" s="112"/>
      <c r="H37" s="113">
        <f>F37*G37</f>
        <v>0</v>
      </c>
      <c r="I37" s="112"/>
      <c r="J37" s="113">
        <f>1-I37</f>
        <v>1</v>
      </c>
      <c r="K37" s="50">
        <f>E37*H37*I37</f>
        <v>0</v>
      </c>
      <c r="L37" s="50">
        <f>E37*H37*J37</f>
        <v>0</v>
      </c>
      <c r="N37" s="26"/>
    </row>
    <row r="38" spans="2:14" hidden="1" outlineLevel="1" x14ac:dyDescent="0.2">
      <c r="B38" s="30" t="s">
        <v>108</v>
      </c>
      <c r="C38" s="109"/>
      <c r="D38" s="30"/>
      <c r="E38" s="111"/>
      <c r="F38" s="112"/>
      <c r="G38" s="112"/>
      <c r="H38" s="113">
        <f t="shared" ref="H38:H41" si="17">F38*G38</f>
        <v>0</v>
      </c>
      <c r="I38" s="112"/>
      <c r="J38" s="113">
        <f t="shared" ref="J38:J41" si="18">1-I38</f>
        <v>1</v>
      </c>
      <c r="K38" s="50">
        <f t="shared" ref="K38:K41" si="19">E38*H38*I38</f>
        <v>0</v>
      </c>
      <c r="L38" s="50">
        <f t="shared" ref="L38:L41" si="20">E38*H38*J38</f>
        <v>0</v>
      </c>
      <c r="N38" s="26"/>
    </row>
    <row r="39" spans="2:14" hidden="1" outlineLevel="1" x14ac:dyDescent="0.2">
      <c r="B39" s="30" t="s">
        <v>109</v>
      </c>
      <c r="C39" s="109"/>
      <c r="D39" s="30"/>
      <c r="E39" s="111"/>
      <c r="F39" s="112"/>
      <c r="G39" s="112"/>
      <c r="H39" s="113">
        <f t="shared" si="17"/>
        <v>0</v>
      </c>
      <c r="I39" s="112"/>
      <c r="J39" s="113">
        <f t="shared" si="18"/>
        <v>1</v>
      </c>
      <c r="K39" s="50">
        <f t="shared" si="19"/>
        <v>0</v>
      </c>
      <c r="L39" s="50">
        <f t="shared" si="20"/>
        <v>0</v>
      </c>
      <c r="N39" s="26"/>
    </row>
    <row r="40" spans="2:14" hidden="1" outlineLevel="1" x14ac:dyDescent="0.2">
      <c r="B40" s="30" t="s">
        <v>110</v>
      </c>
      <c r="C40" s="109"/>
      <c r="D40" s="30"/>
      <c r="E40" s="111"/>
      <c r="F40" s="112"/>
      <c r="G40" s="112"/>
      <c r="H40" s="113">
        <f t="shared" si="17"/>
        <v>0</v>
      </c>
      <c r="I40" s="112"/>
      <c r="J40" s="113">
        <f t="shared" si="18"/>
        <v>1</v>
      </c>
      <c r="K40" s="50">
        <f t="shared" si="19"/>
        <v>0</v>
      </c>
      <c r="L40" s="50">
        <f t="shared" si="20"/>
        <v>0</v>
      </c>
      <c r="N40" s="26"/>
    </row>
    <row r="41" spans="2:14" hidden="1" outlineLevel="1" x14ac:dyDescent="0.2">
      <c r="B41" s="30" t="s">
        <v>111</v>
      </c>
      <c r="C41" s="109"/>
      <c r="D41" s="30"/>
      <c r="E41" s="111"/>
      <c r="F41" s="112"/>
      <c r="G41" s="112"/>
      <c r="H41" s="113">
        <f t="shared" si="17"/>
        <v>0</v>
      </c>
      <c r="I41" s="112"/>
      <c r="J41" s="113">
        <f t="shared" si="18"/>
        <v>1</v>
      </c>
      <c r="K41" s="50">
        <f t="shared" si="19"/>
        <v>0</v>
      </c>
      <c r="L41" s="50">
        <f t="shared" si="20"/>
        <v>0</v>
      </c>
      <c r="N41" s="26"/>
    </row>
    <row r="42" spans="2:14" hidden="1" outlineLevel="1" x14ac:dyDescent="0.2">
      <c r="B42" s="31" t="s">
        <v>112</v>
      </c>
      <c r="C42" s="110"/>
      <c r="D42" s="32"/>
      <c r="E42" s="114"/>
      <c r="F42" s="114"/>
      <c r="G42" s="114"/>
      <c r="H42" s="114"/>
      <c r="I42" s="114"/>
      <c r="J42" s="114"/>
      <c r="K42" s="114"/>
      <c r="L42" s="115"/>
      <c r="N42" s="26"/>
    </row>
    <row r="43" spans="2:14" hidden="1" outlineLevel="1" x14ac:dyDescent="0.2">
      <c r="B43" s="30" t="s">
        <v>107</v>
      </c>
      <c r="C43" s="109"/>
      <c r="D43" s="30"/>
      <c r="E43" s="116"/>
      <c r="F43" s="112"/>
      <c r="G43" s="112"/>
      <c r="H43" s="113">
        <f>F43*G43</f>
        <v>0</v>
      </c>
      <c r="I43" s="112"/>
      <c r="J43" s="113">
        <f>1-I43</f>
        <v>1</v>
      </c>
      <c r="K43" s="50">
        <f>E43*H43*I43</f>
        <v>0</v>
      </c>
      <c r="L43" s="50">
        <f>E43*H43*J43</f>
        <v>0</v>
      </c>
      <c r="N43" s="26"/>
    </row>
    <row r="44" spans="2:14" hidden="1" outlineLevel="1" x14ac:dyDescent="0.2">
      <c r="B44" s="30" t="s">
        <v>108</v>
      </c>
      <c r="C44" s="109"/>
      <c r="D44" s="30"/>
      <c r="E44" s="116"/>
      <c r="F44" s="112"/>
      <c r="G44" s="112"/>
      <c r="H44" s="113">
        <f t="shared" ref="H44:H47" si="21">F44*G44</f>
        <v>0</v>
      </c>
      <c r="I44" s="112"/>
      <c r="J44" s="113">
        <f t="shared" ref="J44:J47" si="22">1-I44</f>
        <v>1</v>
      </c>
      <c r="K44" s="50">
        <f t="shared" ref="K44:K47" si="23">E44*H44*I44</f>
        <v>0</v>
      </c>
      <c r="L44" s="50">
        <f t="shared" ref="L44:L47" si="24">E44*H44*J44</f>
        <v>0</v>
      </c>
      <c r="N44" s="26"/>
    </row>
    <row r="45" spans="2:14" hidden="1" outlineLevel="1" x14ac:dyDescent="0.2">
      <c r="B45" s="30" t="s">
        <v>109</v>
      </c>
      <c r="C45" s="109"/>
      <c r="D45" s="30"/>
      <c r="E45" s="116"/>
      <c r="F45" s="112"/>
      <c r="G45" s="112"/>
      <c r="H45" s="113">
        <f t="shared" si="21"/>
        <v>0</v>
      </c>
      <c r="I45" s="112"/>
      <c r="J45" s="113">
        <f t="shared" si="22"/>
        <v>1</v>
      </c>
      <c r="K45" s="50">
        <f t="shared" si="23"/>
        <v>0</v>
      </c>
      <c r="L45" s="50">
        <f t="shared" si="24"/>
        <v>0</v>
      </c>
      <c r="N45" s="26"/>
    </row>
    <row r="46" spans="2:14" hidden="1" outlineLevel="1" x14ac:dyDescent="0.2">
      <c r="B46" s="30" t="s">
        <v>110</v>
      </c>
      <c r="C46" s="109"/>
      <c r="D46" s="30"/>
      <c r="E46" s="116"/>
      <c r="F46" s="112"/>
      <c r="G46" s="112"/>
      <c r="H46" s="113">
        <f t="shared" si="21"/>
        <v>0</v>
      </c>
      <c r="I46" s="112"/>
      <c r="J46" s="113">
        <f t="shared" si="22"/>
        <v>1</v>
      </c>
      <c r="K46" s="50">
        <f t="shared" si="23"/>
        <v>0</v>
      </c>
      <c r="L46" s="50">
        <f t="shared" si="24"/>
        <v>0</v>
      </c>
      <c r="N46" s="26"/>
    </row>
    <row r="47" spans="2:14" hidden="1" outlineLevel="1" x14ac:dyDescent="0.2">
      <c r="B47" s="30" t="s">
        <v>111</v>
      </c>
      <c r="C47" s="109"/>
      <c r="D47" s="30"/>
      <c r="E47" s="116"/>
      <c r="F47" s="112"/>
      <c r="G47" s="112"/>
      <c r="H47" s="113">
        <f t="shared" si="21"/>
        <v>0</v>
      </c>
      <c r="I47" s="112"/>
      <c r="J47" s="113">
        <f t="shared" si="22"/>
        <v>1</v>
      </c>
      <c r="K47" s="50">
        <f t="shared" si="23"/>
        <v>0</v>
      </c>
      <c r="L47" s="50">
        <f t="shared" si="24"/>
        <v>0</v>
      </c>
      <c r="N47" s="26"/>
    </row>
    <row r="48" spans="2:14" hidden="1" collapsed="1" x14ac:dyDescent="0.2">
      <c r="B48" s="121"/>
      <c r="C48" s="121"/>
      <c r="D48" s="121"/>
      <c r="E48" s="121"/>
      <c r="N48" s="26"/>
    </row>
    <row r="49" spans="2:14" ht="12.75" x14ac:dyDescent="0.2">
      <c r="B49" s="104" t="s">
        <v>104</v>
      </c>
      <c r="C49" s="528" t="s">
        <v>126</v>
      </c>
      <c r="D49" s="528"/>
      <c r="E49" s="528"/>
      <c r="F49" s="528"/>
      <c r="G49" s="528"/>
      <c r="H49" s="528"/>
      <c r="I49" s="528"/>
      <c r="J49" s="528"/>
      <c r="K49" s="528"/>
      <c r="L49" s="528"/>
      <c r="N49" s="26"/>
    </row>
    <row r="50" spans="2:14" ht="36" outlineLevel="1" x14ac:dyDescent="0.2">
      <c r="B50" s="10" t="s">
        <v>105</v>
      </c>
      <c r="C50" s="10" t="s">
        <v>113</v>
      </c>
      <c r="D50" s="10" t="s">
        <v>132</v>
      </c>
      <c r="E50" s="10" t="s">
        <v>114</v>
      </c>
      <c r="F50" s="10" t="s">
        <v>115</v>
      </c>
      <c r="G50" s="10" t="s">
        <v>116</v>
      </c>
      <c r="H50" s="10" t="s">
        <v>117</v>
      </c>
      <c r="I50" s="10" t="s">
        <v>119</v>
      </c>
      <c r="J50" s="10" t="s">
        <v>118</v>
      </c>
      <c r="K50" s="10" t="s">
        <v>120</v>
      </c>
      <c r="L50" s="10" t="s">
        <v>121</v>
      </c>
      <c r="N50" s="26"/>
    </row>
    <row r="51" spans="2:14" outlineLevel="1" x14ac:dyDescent="0.2">
      <c r="B51" s="31" t="s">
        <v>106</v>
      </c>
      <c r="C51" s="32"/>
      <c r="D51" s="32"/>
      <c r="E51" s="32"/>
      <c r="F51" s="32"/>
      <c r="G51" s="32"/>
      <c r="H51" s="32"/>
      <c r="I51" s="32"/>
      <c r="J51" s="32"/>
      <c r="K51" s="32"/>
      <c r="L51" s="33"/>
      <c r="N51" s="26"/>
    </row>
    <row r="52" spans="2:14" ht="36" outlineLevel="1" x14ac:dyDescent="0.2">
      <c r="B52" s="30" t="str">
        <f>B7</f>
        <v>Risks 1: Būvniecības izmaksu palielināšanās risks</v>
      </c>
      <c r="C52" s="109" t="s">
        <v>122</v>
      </c>
      <c r="D52" s="30" t="s">
        <v>149</v>
      </c>
      <c r="E52" s="111">
        <f>NPV_PPP_koncesija!AA15</f>
        <v>-9221903.610671442</v>
      </c>
      <c r="F52" s="112">
        <v>0.1</v>
      </c>
      <c r="G52" s="112">
        <v>0.05</v>
      </c>
      <c r="H52" s="113"/>
      <c r="I52" s="112">
        <v>1</v>
      </c>
      <c r="J52" s="113">
        <f>1-I52</f>
        <v>0</v>
      </c>
      <c r="K52" s="50">
        <f>E52*H52*I52</f>
        <v>0</v>
      </c>
      <c r="L52" s="50">
        <f>E52*H52*J52</f>
        <v>0</v>
      </c>
      <c r="N52" s="26"/>
    </row>
    <row r="53" spans="2:14" ht="36" outlineLevel="1" x14ac:dyDescent="0.2">
      <c r="B53" s="30" t="str">
        <f t="shared" ref="B53:B55" si="25">B8</f>
        <v>Risks 2: Darbu pabeigšanas kavēšanās risks</v>
      </c>
      <c r="C53" s="109" t="s">
        <v>122</v>
      </c>
      <c r="D53" s="30" t="s">
        <v>149</v>
      </c>
      <c r="E53" s="111">
        <f>E52</f>
        <v>-9221903.610671442</v>
      </c>
      <c r="F53" s="112">
        <v>0.1</v>
      </c>
      <c r="G53" s="112">
        <f>G52</f>
        <v>0.05</v>
      </c>
      <c r="H53" s="113"/>
      <c r="I53" s="112">
        <v>1</v>
      </c>
      <c r="J53" s="113">
        <f t="shared" ref="J53:J54" si="26">1-I53</f>
        <v>0</v>
      </c>
      <c r="K53" s="50">
        <f t="shared" ref="K53:K54" si="27">E53*H53*I53</f>
        <v>0</v>
      </c>
      <c r="L53" s="50">
        <f t="shared" ref="L53:L56" si="28">E53*H53*J53</f>
        <v>0</v>
      </c>
      <c r="N53" s="26"/>
    </row>
    <row r="54" spans="2:14" ht="36" outlineLevel="1" x14ac:dyDescent="0.2">
      <c r="B54" s="30" t="str">
        <f t="shared" si="25"/>
        <v>Risks 3: Būvniecības kvalitātes un standartu risks</v>
      </c>
      <c r="C54" s="109" t="s">
        <v>122</v>
      </c>
      <c r="D54" s="30" t="s">
        <v>149</v>
      </c>
      <c r="E54" s="111">
        <f>E53</f>
        <v>-9221903.610671442</v>
      </c>
      <c r="F54" s="112">
        <v>0.1</v>
      </c>
      <c r="G54" s="112">
        <f>G53</f>
        <v>0.05</v>
      </c>
      <c r="H54" s="113"/>
      <c r="I54" s="112">
        <v>1</v>
      </c>
      <c r="J54" s="113">
        <f t="shared" si="26"/>
        <v>0</v>
      </c>
      <c r="K54" s="50">
        <f t="shared" si="27"/>
        <v>0</v>
      </c>
      <c r="L54" s="50">
        <f t="shared" si="28"/>
        <v>0</v>
      </c>
      <c r="M54" s="100"/>
      <c r="N54" s="26"/>
    </row>
    <row r="55" spans="2:14" hidden="1" outlineLevel="1" x14ac:dyDescent="0.2">
      <c r="B55" s="30" t="str">
        <f t="shared" si="25"/>
        <v xml:space="preserve">Risks 4: </v>
      </c>
      <c r="C55" s="109"/>
      <c r="D55" s="30"/>
      <c r="E55" s="111"/>
      <c r="F55" s="112"/>
      <c r="G55" s="112"/>
      <c r="H55" s="113"/>
      <c r="I55" s="112"/>
      <c r="J55" s="113">
        <f t="shared" ref="J55:J56" si="29">1-I55</f>
        <v>1</v>
      </c>
      <c r="K55" s="50">
        <f t="shared" ref="K55:K56" si="30">E55*H55*I55</f>
        <v>0</v>
      </c>
      <c r="L55" s="50">
        <f t="shared" si="28"/>
        <v>0</v>
      </c>
      <c r="N55" s="26"/>
    </row>
    <row r="56" spans="2:14" hidden="1" outlineLevel="1" x14ac:dyDescent="0.2">
      <c r="B56" s="30" t="s">
        <v>111</v>
      </c>
      <c r="C56" s="109"/>
      <c r="D56" s="30"/>
      <c r="E56" s="111"/>
      <c r="F56" s="112"/>
      <c r="G56" s="112"/>
      <c r="H56" s="113"/>
      <c r="I56" s="112"/>
      <c r="J56" s="113">
        <f t="shared" si="29"/>
        <v>1</v>
      </c>
      <c r="K56" s="50">
        <f t="shared" si="30"/>
        <v>0</v>
      </c>
      <c r="L56" s="50">
        <f t="shared" si="28"/>
        <v>0</v>
      </c>
      <c r="N56" s="26"/>
    </row>
    <row r="57" spans="2:14" outlineLevel="1" x14ac:dyDescent="0.2">
      <c r="B57" s="31" t="s">
        <v>112</v>
      </c>
      <c r="C57" s="110"/>
      <c r="D57" s="32"/>
      <c r="E57" s="114"/>
      <c r="F57" s="114"/>
      <c r="G57" s="114"/>
      <c r="H57" s="114"/>
      <c r="I57" s="114"/>
      <c r="J57" s="114"/>
      <c r="K57" s="114"/>
      <c r="L57" s="115"/>
      <c r="N57" s="26"/>
    </row>
    <row r="58" spans="2:14" ht="24" outlineLevel="1" x14ac:dyDescent="0.2">
      <c r="B58" s="30" t="str">
        <f>B13</f>
        <v>Risks 1: Veiktspējas un cenas risks</v>
      </c>
      <c r="C58" s="109" t="s">
        <v>123</v>
      </c>
      <c r="D58" s="30" t="s">
        <v>150</v>
      </c>
      <c r="E58" s="111">
        <f>NPV_PPP_koncesija!AA22</f>
        <v>-32090520.930383388</v>
      </c>
      <c r="F58" s="112">
        <v>0.1</v>
      </c>
      <c r="G58" s="112">
        <v>0.05</v>
      </c>
      <c r="H58" s="113"/>
      <c r="I58" s="112">
        <v>1</v>
      </c>
      <c r="J58" s="113">
        <f>1-I58</f>
        <v>0</v>
      </c>
      <c r="K58" s="50">
        <f>E58*H58*I58</f>
        <v>0</v>
      </c>
      <c r="L58" s="50">
        <f>E58*H58*J58</f>
        <v>0</v>
      </c>
      <c r="N58" s="26"/>
    </row>
    <row r="59" spans="2:14" ht="24" outlineLevel="1" x14ac:dyDescent="0.2">
      <c r="B59" s="30" t="str">
        <f t="shared" ref="B59:B61" si="31">B14</f>
        <v>Risks 2: Uzturēšanas kvalitātes risks</v>
      </c>
      <c r="C59" s="109" t="s">
        <v>123</v>
      </c>
      <c r="D59" s="30" t="s">
        <v>150</v>
      </c>
      <c r="E59" s="111">
        <f>E58</f>
        <v>-32090520.930383388</v>
      </c>
      <c r="F59" s="112">
        <v>0.1</v>
      </c>
      <c r="G59" s="112">
        <f>G58</f>
        <v>0.05</v>
      </c>
      <c r="H59" s="113"/>
      <c r="I59" s="112">
        <v>1</v>
      </c>
      <c r="J59" s="113">
        <f t="shared" ref="J59:J62" si="32">1-I59</f>
        <v>0</v>
      </c>
      <c r="K59" s="50">
        <f t="shared" ref="K59:K60" si="33">E59*H59*I59</f>
        <v>0</v>
      </c>
      <c r="L59" s="50">
        <f t="shared" ref="L59:L61" si="34">E59*H59*J59</f>
        <v>0</v>
      </c>
      <c r="N59" s="26"/>
    </row>
    <row r="60" spans="2:14" ht="36" outlineLevel="1" x14ac:dyDescent="0.2">
      <c r="B60" s="30" t="str">
        <f t="shared" si="31"/>
        <v>Risks 3: Palielinātu ekspluatācijas izmaksu risks</v>
      </c>
      <c r="C60" s="109" t="s">
        <v>123</v>
      </c>
      <c r="D60" s="30" t="s">
        <v>150</v>
      </c>
      <c r="E60" s="111">
        <f>E59</f>
        <v>-32090520.930383388</v>
      </c>
      <c r="F60" s="112">
        <v>0.1</v>
      </c>
      <c r="G60" s="112">
        <f>G59</f>
        <v>0.05</v>
      </c>
      <c r="H60" s="113"/>
      <c r="I60" s="112">
        <v>1</v>
      </c>
      <c r="J60" s="113">
        <f t="shared" si="32"/>
        <v>0</v>
      </c>
      <c r="K60" s="50">
        <f t="shared" si="33"/>
        <v>0</v>
      </c>
      <c r="L60" s="50">
        <f t="shared" si="34"/>
        <v>0</v>
      </c>
      <c r="N60" s="26"/>
    </row>
    <row r="61" spans="2:14" ht="24" outlineLevel="1" x14ac:dyDescent="0.2">
      <c r="B61" s="30" t="str">
        <f t="shared" si="31"/>
        <v>Risks 4: Pieprasījuma apjoma risks</v>
      </c>
      <c r="C61" s="109" t="s">
        <v>124</v>
      </c>
      <c r="D61" s="30" t="s">
        <v>153</v>
      </c>
      <c r="E61" s="111">
        <f>-NPV_PPP_koncesija!AA34</f>
        <v>-52772456.453968316</v>
      </c>
      <c r="F61" s="112">
        <v>0.1</v>
      </c>
      <c r="G61" s="112">
        <v>0.05</v>
      </c>
      <c r="H61" s="113"/>
      <c r="I61" s="112">
        <v>1</v>
      </c>
      <c r="J61" s="113">
        <f t="shared" si="32"/>
        <v>0</v>
      </c>
      <c r="K61" s="50">
        <f>E61*H61*I61</f>
        <v>0</v>
      </c>
      <c r="L61" s="50">
        <f t="shared" si="34"/>
        <v>0</v>
      </c>
      <c r="N61" s="26"/>
    </row>
    <row r="62" spans="2:14" hidden="1" outlineLevel="1" x14ac:dyDescent="0.2">
      <c r="B62" s="30" t="s">
        <v>111</v>
      </c>
      <c r="C62" s="109"/>
      <c r="D62" s="30"/>
      <c r="E62" s="116"/>
      <c r="F62" s="112"/>
      <c r="G62" s="112"/>
      <c r="H62" s="113">
        <f t="shared" ref="H62" si="35">F62*G62</f>
        <v>0</v>
      </c>
      <c r="I62" s="112"/>
      <c r="J62" s="113">
        <f t="shared" si="32"/>
        <v>1</v>
      </c>
      <c r="K62" s="50">
        <f t="shared" ref="K62" si="36">E62*H62*I62</f>
        <v>0</v>
      </c>
      <c r="L62" s="50">
        <f t="shared" ref="L62" si="37">E62*H62*J62</f>
        <v>0</v>
      </c>
      <c r="N62" s="26"/>
    </row>
    <row r="63" spans="2:14" x14ac:dyDescent="0.2">
      <c r="B63" s="121"/>
      <c r="C63" s="121"/>
      <c r="D63" s="121"/>
      <c r="E63" s="121"/>
      <c r="N63" s="26"/>
    </row>
    <row r="64" spans="2:14" ht="12.75" x14ac:dyDescent="0.2">
      <c r="B64" s="104" t="s">
        <v>104</v>
      </c>
      <c r="C64" s="528" t="s">
        <v>127</v>
      </c>
      <c r="D64" s="528"/>
      <c r="E64" s="528"/>
      <c r="F64" s="528"/>
      <c r="G64" s="528"/>
      <c r="H64" s="528"/>
      <c r="I64" s="528"/>
      <c r="J64" s="528"/>
      <c r="K64" s="528"/>
      <c r="L64" s="528"/>
      <c r="N64" s="26"/>
    </row>
    <row r="65" spans="2:14" ht="36" hidden="1" outlineLevel="1" x14ac:dyDescent="0.2">
      <c r="B65" s="10" t="s">
        <v>105</v>
      </c>
      <c r="C65" s="10" t="s">
        <v>113</v>
      </c>
      <c r="D65" s="10" t="s">
        <v>132</v>
      </c>
      <c r="E65" s="10" t="s">
        <v>114</v>
      </c>
      <c r="F65" s="10" t="s">
        <v>115</v>
      </c>
      <c r="G65" s="10" t="s">
        <v>116</v>
      </c>
      <c r="H65" s="10" t="s">
        <v>117</v>
      </c>
      <c r="I65" s="10" t="s">
        <v>119</v>
      </c>
      <c r="J65" s="10" t="s">
        <v>118</v>
      </c>
      <c r="K65" s="10" t="s">
        <v>120</v>
      </c>
      <c r="L65" s="10" t="s">
        <v>121</v>
      </c>
      <c r="N65" s="26"/>
    </row>
    <row r="66" spans="2:14" hidden="1" outlineLevel="1" x14ac:dyDescent="0.2">
      <c r="B66" s="31" t="s">
        <v>106</v>
      </c>
      <c r="C66" s="32"/>
      <c r="D66" s="32"/>
      <c r="E66" s="32"/>
      <c r="F66" s="32"/>
      <c r="G66" s="32"/>
      <c r="H66" s="32"/>
      <c r="I66" s="32"/>
      <c r="J66" s="32"/>
      <c r="K66" s="32"/>
      <c r="L66" s="33"/>
      <c r="N66" s="26"/>
    </row>
    <row r="67" spans="2:14" hidden="1" outlineLevel="1" x14ac:dyDescent="0.2">
      <c r="B67" s="30" t="s">
        <v>107</v>
      </c>
      <c r="C67" s="109"/>
      <c r="D67" s="30"/>
      <c r="E67" s="111"/>
      <c r="F67" s="112"/>
      <c r="G67" s="112"/>
      <c r="H67" s="113">
        <f>F67*G67</f>
        <v>0</v>
      </c>
      <c r="I67" s="112"/>
      <c r="J67" s="113">
        <f>1-I67</f>
        <v>1</v>
      </c>
      <c r="K67" s="50">
        <f>E67*H67*I67</f>
        <v>0</v>
      </c>
      <c r="L67" s="50">
        <f>E67*H67*J67</f>
        <v>0</v>
      </c>
      <c r="N67" s="26"/>
    </row>
    <row r="68" spans="2:14" hidden="1" outlineLevel="1" x14ac:dyDescent="0.2">
      <c r="B68" s="30" t="s">
        <v>108</v>
      </c>
      <c r="C68" s="109"/>
      <c r="D68" s="30"/>
      <c r="E68" s="111"/>
      <c r="F68" s="112"/>
      <c r="G68" s="112"/>
      <c r="H68" s="113">
        <f t="shared" ref="H68:H71" si="38">F68*G68</f>
        <v>0</v>
      </c>
      <c r="I68" s="112"/>
      <c r="J68" s="113">
        <f t="shared" ref="J68:J71" si="39">1-I68</f>
        <v>1</v>
      </c>
      <c r="K68" s="50">
        <f t="shared" ref="K68:K71" si="40">E68*H68*I68</f>
        <v>0</v>
      </c>
      <c r="L68" s="50">
        <f t="shared" ref="L68:L71" si="41">E68*H68*J68</f>
        <v>0</v>
      </c>
      <c r="N68" s="26"/>
    </row>
    <row r="69" spans="2:14" hidden="1" outlineLevel="1" x14ac:dyDescent="0.2">
      <c r="B69" s="30" t="s">
        <v>109</v>
      </c>
      <c r="C69" s="109"/>
      <c r="D69" s="30"/>
      <c r="E69" s="111"/>
      <c r="F69" s="112"/>
      <c r="G69" s="112"/>
      <c r="H69" s="113">
        <f t="shared" si="38"/>
        <v>0</v>
      </c>
      <c r="I69" s="112"/>
      <c r="J69" s="113">
        <f t="shared" si="39"/>
        <v>1</v>
      </c>
      <c r="K69" s="50">
        <f t="shared" si="40"/>
        <v>0</v>
      </c>
      <c r="L69" s="50">
        <f t="shared" si="41"/>
        <v>0</v>
      </c>
      <c r="N69" s="26"/>
    </row>
    <row r="70" spans="2:14" hidden="1" outlineLevel="1" x14ac:dyDescent="0.2">
      <c r="B70" s="30" t="s">
        <v>110</v>
      </c>
      <c r="C70" s="109"/>
      <c r="D70" s="30"/>
      <c r="E70" s="111"/>
      <c r="F70" s="112"/>
      <c r="G70" s="112"/>
      <c r="H70" s="113">
        <f t="shared" si="38"/>
        <v>0</v>
      </c>
      <c r="I70" s="112"/>
      <c r="J70" s="113">
        <f t="shared" si="39"/>
        <v>1</v>
      </c>
      <c r="K70" s="50">
        <f t="shared" si="40"/>
        <v>0</v>
      </c>
      <c r="L70" s="50">
        <f t="shared" si="41"/>
        <v>0</v>
      </c>
      <c r="N70" s="26"/>
    </row>
    <row r="71" spans="2:14" hidden="1" outlineLevel="1" x14ac:dyDescent="0.2">
      <c r="B71" s="30" t="s">
        <v>111</v>
      </c>
      <c r="C71" s="109"/>
      <c r="D71" s="30"/>
      <c r="E71" s="111"/>
      <c r="F71" s="112"/>
      <c r="G71" s="112"/>
      <c r="H71" s="113">
        <f t="shared" si="38"/>
        <v>0</v>
      </c>
      <c r="I71" s="112"/>
      <c r="J71" s="113">
        <f t="shared" si="39"/>
        <v>1</v>
      </c>
      <c r="K71" s="50">
        <f t="shared" si="40"/>
        <v>0</v>
      </c>
      <c r="L71" s="50">
        <f t="shared" si="41"/>
        <v>0</v>
      </c>
      <c r="N71" s="26"/>
    </row>
    <row r="72" spans="2:14" hidden="1" outlineLevel="1" x14ac:dyDescent="0.2">
      <c r="B72" s="31" t="s">
        <v>112</v>
      </c>
      <c r="C72" s="110"/>
      <c r="D72" s="32"/>
      <c r="E72" s="114"/>
      <c r="F72" s="114"/>
      <c r="G72" s="114"/>
      <c r="H72" s="114"/>
      <c r="I72" s="114"/>
      <c r="J72" s="114"/>
      <c r="K72" s="114"/>
      <c r="L72" s="115"/>
      <c r="N72" s="26"/>
    </row>
    <row r="73" spans="2:14" hidden="1" outlineLevel="1" x14ac:dyDescent="0.2">
      <c r="B73" s="30" t="s">
        <v>107</v>
      </c>
      <c r="C73" s="109"/>
      <c r="D73" s="30"/>
      <c r="E73" s="116"/>
      <c r="F73" s="112"/>
      <c r="G73" s="112"/>
      <c r="H73" s="113">
        <f>F73*G73</f>
        <v>0</v>
      </c>
      <c r="I73" s="112"/>
      <c r="J73" s="113">
        <f>1-I73</f>
        <v>1</v>
      </c>
      <c r="K73" s="50">
        <f>E73*H73*I73</f>
        <v>0</v>
      </c>
      <c r="L73" s="50">
        <f>E73*H73*J73</f>
        <v>0</v>
      </c>
      <c r="N73" s="26"/>
    </row>
    <row r="74" spans="2:14" hidden="1" outlineLevel="1" x14ac:dyDescent="0.2">
      <c r="B74" s="30" t="s">
        <v>108</v>
      </c>
      <c r="C74" s="109"/>
      <c r="D74" s="30"/>
      <c r="E74" s="116"/>
      <c r="F74" s="112"/>
      <c r="G74" s="112"/>
      <c r="H74" s="113">
        <f t="shared" ref="H74:H77" si="42">F74*G74</f>
        <v>0</v>
      </c>
      <c r="I74" s="112"/>
      <c r="J74" s="113">
        <f t="shared" ref="J74:J77" si="43">1-I74</f>
        <v>1</v>
      </c>
      <c r="K74" s="50">
        <f t="shared" ref="K74:K77" si="44">E74*H74*I74</f>
        <v>0</v>
      </c>
      <c r="L74" s="50">
        <f t="shared" ref="L74:L77" si="45">E74*H74*J74</f>
        <v>0</v>
      </c>
      <c r="N74" s="26"/>
    </row>
    <row r="75" spans="2:14" hidden="1" outlineLevel="1" x14ac:dyDescent="0.2">
      <c r="B75" s="30" t="s">
        <v>109</v>
      </c>
      <c r="C75" s="109"/>
      <c r="D75" s="30"/>
      <c r="E75" s="116"/>
      <c r="F75" s="112"/>
      <c r="G75" s="112"/>
      <c r="H75" s="113">
        <f t="shared" si="42"/>
        <v>0</v>
      </c>
      <c r="I75" s="112"/>
      <c r="J75" s="113">
        <f t="shared" si="43"/>
        <v>1</v>
      </c>
      <c r="K75" s="50">
        <f t="shared" si="44"/>
        <v>0</v>
      </c>
      <c r="L75" s="50">
        <f t="shared" si="45"/>
        <v>0</v>
      </c>
      <c r="N75" s="26"/>
    </row>
    <row r="76" spans="2:14" hidden="1" outlineLevel="1" x14ac:dyDescent="0.2">
      <c r="B76" s="30" t="s">
        <v>110</v>
      </c>
      <c r="C76" s="109"/>
      <c r="D76" s="30"/>
      <c r="E76" s="116"/>
      <c r="F76" s="112"/>
      <c r="G76" s="112"/>
      <c r="H76" s="113">
        <f t="shared" si="42"/>
        <v>0</v>
      </c>
      <c r="I76" s="112"/>
      <c r="J76" s="113">
        <f t="shared" si="43"/>
        <v>1</v>
      </c>
      <c r="K76" s="50">
        <f t="shared" si="44"/>
        <v>0</v>
      </c>
      <c r="L76" s="50">
        <f t="shared" si="45"/>
        <v>0</v>
      </c>
      <c r="N76" s="26"/>
    </row>
    <row r="77" spans="2:14" hidden="1" outlineLevel="1" x14ac:dyDescent="0.2">
      <c r="B77" s="30" t="s">
        <v>111</v>
      </c>
      <c r="C77" s="109"/>
      <c r="D77" s="30"/>
      <c r="E77" s="116"/>
      <c r="F77" s="112"/>
      <c r="G77" s="112"/>
      <c r="H77" s="113">
        <f t="shared" si="42"/>
        <v>0</v>
      </c>
      <c r="I77" s="112"/>
      <c r="J77" s="113">
        <f t="shared" si="43"/>
        <v>1</v>
      </c>
      <c r="K77" s="50">
        <f t="shared" si="44"/>
        <v>0</v>
      </c>
      <c r="L77" s="50">
        <f t="shared" si="45"/>
        <v>0</v>
      </c>
      <c r="N77" s="26"/>
    </row>
    <row r="78" spans="2:14" collapsed="1" x14ac:dyDescent="0.2">
      <c r="B78" s="121"/>
      <c r="C78" s="121"/>
      <c r="D78" s="121"/>
      <c r="E78" s="121"/>
      <c r="N78" s="26"/>
    </row>
    <row r="79" spans="2:14" x14ac:dyDescent="0.2">
      <c r="N79" s="26"/>
    </row>
    <row r="80" spans="2:14" ht="15" x14ac:dyDescent="0.25">
      <c r="B80" s="527" t="s">
        <v>128</v>
      </c>
      <c r="C80" s="527"/>
      <c r="D80" s="527"/>
      <c r="E80" s="527"/>
      <c r="F80" s="527"/>
      <c r="G80" s="527"/>
      <c r="H80" s="527"/>
      <c r="I80" s="527"/>
      <c r="J80" s="527"/>
      <c r="K80" s="527"/>
      <c r="L80" s="527"/>
      <c r="N80" s="26"/>
    </row>
    <row r="81" spans="2:14" ht="15" x14ac:dyDescent="0.25">
      <c r="B81" s="147"/>
      <c r="C81" s="147"/>
      <c r="D81" s="147"/>
      <c r="E81" s="147"/>
      <c r="F81" s="147"/>
      <c r="G81" s="147"/>
      <c r="H81" s="147"/>
      <c r="I81" s="147"/>
      <c r="J81" s="147"/>
      <c r="K81" s="147"/>
      <c r="L81" s="147"/>
    </row>
    <row r="82" spans="2:14" ht="15" x14ac:dyDescent="0.25">
      <c r="B82" s="538" t="s">
        <v>243</v>
      </c>
      <c r="C82" s="538"/>
      <c r="D82" s="538"/>
      <c r="E82" s="538"/>
      <c r="F82" s="147"/>
      <c r="G82" s="147"/>
      <c r="H82" s="147"/>
      <c r="I82" s="147"/>
      <c r="J82" s="147"/>
      <c r="K82" s="147"/>
      <c r="L82" s="147"/>
    </row>
    <row r="83" spans="2:14" x14ac:dyDescent="0.2">
      <c r="N83" s="26"/>
    </row>
    <row r="84" spans="2:14" ht="34.5" outlineLevel="1" x14ac:dyDescent="0.2">
      <c r="B84" s="149" t="str">
        <f>G84</f>
        <v>BĀZES MODELIS I</v>
      </c>
      <c r="C84" s="535" t="s">
        <v>242</v>
      </c>
      <c r="D84" s="530"/>
      <c r="E84" s="160" t="s">
        <v>247</v>
      </c>
      <c r="G84" s="529" t="str">
        <f>C4</f>
        <v>BĀZES MODELIS I</v>
      </c>
      <c r="H84" s="529"/>
      <c r="I84" s="530"/>
      <c r="J84" s="38" t="s">
        <v>133</v>
      </c>
      <c r="K84" s="38" t="s">
        <v>134</v>
      </c>
      <c r="L84" s="38" t="s">
        <v>135</v>
      </c>
      <c r="N84" s="26"/>
    </row>
    <row r="85" spans="2:14" ht="14.45" customHeight="1" outlineLevel="1" x14ac:dyDescent="0.2">
      <c r="B85" s="150" t="s">
        <v>129</v>
      </c>
      <c r="C85" s="536"/>
      <c r="D85" s="537"/>
      <c r="E85" s="161"/>
      <c r="G85" s="526" t="s">
        <v>129</v>
      </c>
      <c r="H85" s="526"/>
      <c r="I85" s="122" t="s">
        <v>122</v>
      </c>
      <c r="J85" s="106">
        <f>SUMIF($C$7:$C$17,I85,$K$7:$K$17)</f>
        <v>0</v>
      </c>
      <c r="K85" s="106">
        <f>SUMIF($C$7:$C$17,I85,$L$7:$L$17)</f>
        <v>0</v>
      </c>
      <c r="L85" s="34" t="str">
        <f>IFERROR(K85/(J85+K85),"-")</f>
        <v>-</v>
      </c>
      <c r="N85" s="26"/>
    </row>
    <row r="86" spans="2:14" ht="14.45" customHeight="1" outlineLevel="1" x14ac:dyDescent="0.2">
      <c r="B86" s="151"/>
      <c r="C86" s="536"/>
      <c r="D86" s="537"/>
      <c r="E86" s="161"/>
      <c r="G86" s="526" t="s">
        <v>130</v>
      </c>
      <c r="H86" s="526"/>
      <c r="I86" s="122" t="s">
        <v>123</v>
      </c>
      <c r="J86" s="106">
        <f>SUMIF($C$7:$C$17,I86,$K$7:$K$17)</f>
        <v>0</v>
      </c>
      <c r="K86" s="106">
        <f>SUMIF($C$7:$C$17,I86,$L$7:$L$17)</f>
        <v>0</v>
      </c>
      <c r="L86" s="34" t="str">
        <f t="shared" ref="L86:L87" si="46">IFERROR(K86/(J86+K86),"-")</f>
        <v>-</v>
      </c>
      <c r="N86" s="26"/>
    </row>
    <row r="87" spans="2:14" ht="14.45" customHeight="1" outlineLevel="1" x14ac:dyDescent="0.2">
      <c r="B87" s="151"/>
      <c r="C87" s="536"/>
      <c r="D87" s="537"/>
      <c r="E87" s="157"/>
      <c r="G87" s="526" t="s">
        <v>131</v>
      </c>
      <c r="H87" s="526"/>
      <c r="I87" s="122" t="s">
        <v>124</v>
      </c>
      <c r="J87" s="106">
        <f>SUMIF($C$7:$C$17,I87,$K$7:$K$17)</f>
        <v>0</v>
      </c>
      <c r="K87" s="106">
        <f>SUMIF($C$7:$C$17,I87,$L$7:$L$17)</f>
        <v>0</v>
      </c>
      <c r="L87" s="34" t="str">
        <f t="shared" si="46"/>
        <v>-</v>
      </c>
      <c r="N87" s="26"/>
    </row>
    <row r="88" spans="2:14" ht="14.45" customHeight="1" outlineLevel="1" x14ac:dyDescent="0.2">
      <c r="B88" s="150" t="s">
        <v>130</v>
      </c>
      <c r="C88" s="536"/>
      <c r="D88" s="537"/>
      <c r="E88" s="161"/>
      <c r="G88" s="123"/>
      <c r="H88" s="123"/>
      <c r="I88" s="146"/>
      <c r="J88" s="124"/>
      <c r="K88" s="124"/>
      <c r="L88" s="125"/>
    </row>
    <row r="89" spans="2:14" ht="14.45" customHeight="1" outlineLevel="1" x14ac:dyDescent="0.2">
      <c r="B89" s="151"/>
      <c r="C89" s="536"/>
      <c r="D89" s="537"/>
      <c r="E89" s="161"/>
      <c r="G89" s="123"/>
      <c r="H89" s="123"/>
      <c r="I89" s="146"/>
      <c r="J89" s="124"/>
      <c r="K89" s="124"/>
      <c r="L89" s="125"/>
    </row>
    <row r="90" spans="2:14" ht="14.45" customHeight="1" outlineLevel="1" x14ac:dyDescent="0.2">
      <c r="B90" s="151"/>
      <c r="C90" s="536"/>
      <c r="D90" s="537"/>
      <c r="E90" s="157"/>
      <c r="G90" s="123"/>
      <c r="H90" s="123"/>
      <c r="I90" s="146"/>
      <c r="J90" s="124"/>
      <c r="K90" s="124"/>
      <c r="L90" s="125"/>
    </row>
    <row r="91" spans="2:14" ht="14.45" customHeight="1" outlineLevel="1" x14ac:dyDescent="0.2">
      <c r="B91" s="150" t="s">
        <v>131</v>
      </c>
      <c r="C91" s="536"/>
      <c r="D91" s="537"/>
      <c r="E91" s="161"/>
      <c r="G91" s="123"/>
      <c r="H91" s="123"/>
      <c r="I91" s="146"/>
      <c r="J91" s="124"/>
      <c r="K91" s="124"/>
      <c r="L91" s="125"/>
    </row>
    <row r="92" spans="2:14" ht="14.45" customHeight="1" outlineLevel="1" x14ac:dyDescent="0.2">
      <c r="B92" s="150"/>
      <c r="C92" s="153"/>
      <c r="D92" s="154"/>
      <c r="E92" s="157"/>
      <c r="G92" s="123"/>
      <c r="H92" s="123"/>
      <c r="I92" s="146"/>
      <c r="J92" s="124"/>
      <c r="K92" s="124"/>
      <c r="L92" s="125"/>
    </row>
    <row r="93" spans="2:14" ht="14.45" customHeight="1" outlineLevel="1" x14ac:dyDescent="0.2">
      <c r="B93" s="151"/>
      <c r="C93" s="536"/>
      <c r="D93" s="537"/>
      <c r="E93" s="157"/>
      <c r="G93" s="123"/>
      <c r="H93" s="123"/>
      <c r="I93" s="146"/>
      <c r="J93" s="124"/>
      <c r="K93" s="124"/>
      <c r="L93" s="125"/>
    </row>
    <row r="94" spans="2:14" ht="14.45" customHeight="1" x14ac:dyDescent="0.2">
      <c r="G94" s="123"/>
      <c r="H94" s="123"/>
      <c r="I94" s="3"/>
      <c r="J94" s="124"/>
      <c r="K94" s="124"/>
      <c r="L94" s="125"/>
      <c r="N94" s="26"/>
    </row>
    <row r="95" spans="2:14" ht="34.5" hidden="1" outlineLevel="1" x14ac:dyDescent="0.2">
      <c r="B95" s="149" t="str">
        <f>G95</f>
        <v>BĀZES MODELIS II</v>
      </c>
      <c r="C95" s="535" t="s">
        <v>242</v>
      </c>
      <c r="D95" s="530"/>
      <c r="E95" s="160" t="s">
        <v>247</v>
      </c>
      <c r="G95" s="529" t="str">
        <f>C19</f>
        <v>BĀZES MODELIS II</v>
      </c>
      <c r="H95" s="529"/>
      <c r="I95" s="530"/>
      <c r="J95" s="38" t="s">
        <v>133</v>
      </c>
      <c r="K95" s="38" t="s">
        <v>134</v>
      </c>
      <c r="L95" s="38" t="s">
        <v>135</v>
      </c>
      <c r="N95" s="26"/>
    </row>
    <row r="96" spans="2:14" ht="14.45" hidden="1" customHeight="1" outlineLevel="1" x14ac:dyDescent="0.2">
      <c r="B96" s="150" t="s">
        <v>129</v>
      </c>
      <c r="C96" s="536"/>
      <c r="D96" s="537"/>
      <c r="E96" s="157"/>
      <c r="G96" s="526" t="s">
        <v>129</v>
      </c>
      <c r="H96" s="526"/>
      <c r="I96" s="122" t="s">
        <v>122</v>
      </c>
      <c r="J96" s="106">
        <f>SUMIF($C$22:$C$32,I96,$K$22:$K$32)</f>
        <v>0</v>
      </c>
      <c r="K96" s="106">
        <f>SUMIF($C$22:$C$22,I96,$L$22:$L$22)</f>
        <v>0</v>
      </c>
      <c r="L96" s="34" t="str">
        <f>IFERROR(K96/(J96+K96),"-")</f>
        <v>-</v>
      </c>
      <c r="N96" s="26"/>
    </row>
    <row r="97" spans="2:14" ht="14.45" hidden="1" customHeight="1" outlineLevel="1" x14ac:dyDescent="0.2">
      <c r="B97" s="151"/>
      <c r="C97" s="536"/>
      <c r="D97" s="537"/>
      <c r="E97" s="157"/>
      <c r="G97" s="526" t="s">
        <v>130</v>
      </c>
      <c r="H97" s="526"/>
      <c r="I97" s="122" t="s">
        <v>123</v>
      </c>
      <c r="J97" s="106">
        <f>SUMIF($C$22:$C$32,I97,$K$22:$K$32)</f>
        <v>0</v>
      </c>
      <c r="K97" s="106">
        <f t="shared" ref="K97:K98" si="47">SUMIF($C$22:$C$22,I97,$L$22:$L$22)</f>
        <v>0</v>
      </c>
      <c r="L97" s="34" t="str">
        <f t="shared" ref="L97:L98" si="48">IFERROR(K97/(J97+K97),"-")</f>
        <v>-</v>
      </c>
      <c r="N97" s="26"/>
    </row>
    <row r="98" spans="2:14" ht="14.45" hidden="1" customHeight="1" outlineLevel="1" x14ac:dyDescent="0.2">
      <c r="B98" s="151"/>
      <c r="C98" s="536"/>
      <c r="D98" s="537"/>
      <c r="E98" s="157"/>
      <c r="G98" s="526" t="s">
        <v>131</v>
      </c>
      <c r="H98" s="526"/>
      <c r="I98" s="122" t="s">
        <v>124</v>
      </c>
      <c r="J98" s="106">
        <f>SUMIF($C$22:$C$32,I98,$K$22:$K$32)</f>
        <v>0</v>
      </c>
      <c r="K98" s="106">
        <f t="shared" si="47"/>
        <v>0</v>
      </c>
      <c r="L98" s="34" t="str">
        <f t="shared" si="48"/>
        <v>-</v>
      </c>
      <c r="N98" s="26"/>
    </row>
    <row r="99" spans="2:14" ht="14.45" hidden="1" customHeight="1" outlineLevel="1" x14ac:dyDescent="0.2">
      <c r="B99" s="150" t="s">
        <v>130</v>
      </c>
      <c r="C99" s="536"/>
      <c r="D99" s="537"/>
      <c r="E99" s="157"/>
      <c r="G99" s="123"/>
      <c r="H99" s="123"/>
      <c r="I99" s="146"/>
      <c r="J99" s="124"/>
      <c r="K99" s="124"/>
      <c r="L99" s="125"/>
    </row>
    <row r="100" spans="2:14" ht="14.45" hidden="1" customHeight="1" outlineLevel="1" x14ac:dyDescent="0.2">
      <c r="B100" s="151"/>
      <c r="C100" s="536"/>
      <c r="D100" s="537"/>
      <c r="E100" s="157"/>
      <c r="G100" s="123"/>
      <c r="H100" s="123"/>
      <c r="I100" s="146"/>
      <c r="J100" s="124"/>
      <c r="K100" s="124"/>
      <c r="L100" s="125"/>
    </row>
    <row r="101" spans="2:14" ht="14.45" hidden="1" customHeight="1" outlineLevel="1" x14ac:dyDescent="0.2">
      <c r="B101" s="151"/>
      <c r="C101" s="536"/>
      <c r="D101" s="537"/>
      <c r="E101" s="157"/>
      <c r="G101" s="123"/>
      <c r="H101" s="123"/>
      <c r="I101" s="146"/>
      <c r="J101" s="124"/>
      <c r="K101" s="124"/>
      <c r="L101" s="125"/>
    </row>
    <row r="102" spans="2:14" ht="14.45" hidden="1" customHeight="1" outlineLevel="1" x14ac:dyDescent="0.2">
      <c r="B102" s="150" t="s">
        <v>131</v>
      </c>
      <c r="C102" s="536"/>
      <c r="D102" s="537"/>
      <c r="E102" s="157"/>
      <c r="G102" s="123"/>
      <c r="H102" s="123"/>
      <c r="I102" s="146"/>
      <c r="J102" s="124"/>
      <c r="K102" s="124"/>
      <c r="L102" s="125"/>
    </row>
    <row r="103" spans="2:14" ht="14.45" hidden="1" customHeight="1" outlineLevel="1" x14ac:dyDescent="0.2">
      <c r="B103" s="152"/>
      <c r="C103" s="536"/>
      <c r="D103" s="537"/>
      <c r="E103" s="157"/>
      <c r="G103" s="123"/>
      <c r="H103" s="123"/>
      <c r="I103" s="146"/>
      <c r="J103" s="124"/>
      <c r="K103" s="124"/>
      <c r="L103" s="125"/>
    </row>
    <row r="104" spans="2:14" ht="14.45" hidden="1" customHeight="1" outlineLevel="1" x14ac:dyDescent="0.2">
      <c r="B104" s="151"/>
      <c r="C104" s="536"/>
      <c r="D104" s="537"/>
      <c r="E104" s="157"/>
      <c r="G104" s="123"/>
      <c r="H104" s="123"/>
      <c r="I104" s="146"/>
      <c r="J104" s="124"/>
      <c r="K104" s="124"/>
      <c r="L104" s="125"/>
    </row>
    <row r="105" spans="2:14" ht="14.45" customHeight="1" collapsed="1" x14ac:dyDescent="0.2">
      <c r="G105" s="123"/>
      <c r="H105" s="123"/>
      <c r="I105" s="3"/>
      <c r="J105" s="124"/>
      <c r="K105" s="124"/>
      <c r="L105" s="125"/>
      <c r="N105" s="26"/>
    </row>
    <row r="106" spans="2:14" ht="34.5" hidden="1" outlineLevel="1" x14ac:dyDescent="0.2">
      <c r="B106" s="149" t="str">
        <f>G106</f>
        <v>PPP PARTNERĪBAS LĪGUMS</v>
      </c>
      <c r="C106" s="535" t="s">
        <v>242</v>
      </c>
      <c r="D106" s="530"/>
      <c r="E106" s="160" t="s">
        <v>247</v>
      </c>
      <c r="G106" s="529" t="str">
        <f>C34</f>
        <v>PPP PARTNERĪBAS LĪGUMS</v>
      </c>
      <c r="H106" s="529"/>
      <c r="I106" s="530"/>
      <c r="J106" s="38" t="s">
        <v>133</v>
      </c>
      <c r="K106" s="38" t="s">
        <v>134</v>
      </c>
      <c r="L106" s="38" t="s">
        <v>135</v>
      </c>
      <c r="N106" s="26"/>
    </row>
    <row r="107" spans="2:14" hidden="1" outlineLevel="1" x14ac:dyDescent="0.2">
      <c r="B107" s="150" t="s">
        <v>129</v>
      </c>
      <c r="C107" s="531"/>
      <c r="D107" s="532"/>
      <c r="E107" s="157"/>
      <c r="G107" s="526" t="s">
        <v>129</v>
      </c>
      <c r="H107" s="526"/>
      <c r="I107" s="122" t="s">
        <v>122</v>
      </c>
      <c r="J107" s="106">
        <f>SUMIF($C$37:$C$47,I107,$K$37:$K$47)</f>
        <v>0</v>
      </c>
      <c r="K107" s="106">
        <f>SUMIF($C$37:$C$47,I107,$L$37:$L$47)</f>
        <v>0</v>
      </c>
      <c r="L107" s="34" t="str">
        <f>IFERROR(K107/(J107+K107),"-")</f>
        <v>-</v>
      </c>
      <c r="N107" s="26"/>
    </row>
    <row r="108" spans="2:14" hidden="1" outlineLevel="1" x14ac:dyDescent="0.2">
      <c r="B108" s="151"/>
      <c r="C108" s="531"/>
      <c r="D108" s="532"/>
      <c r="E108" s="157"/>
      <c r="G108" s="526" t="s">
        <v>130</v>
      </c>
      <c r="H108" s="526"/>
      <c r="I108" s="122" t="s">
        <v>123</v>
      </c>
      <c r="J108" s="106">
        <f t="shared" ref="J108:J109" si="49">SUMIF($C$37:$C$47,I108,$K$37:$K$47)</f>
        <v>0</v>
      </c>
      <c r="K108" s="106">
        <f t="shared" ref="K108:K109" si="50">SUMIF($C$37:$C$47,I108,$L$37:$L$47)</f>
        <v>0</v>
      </c>
      <c r="L108" s="34" t="str">
        <f t="shared" ref="L108:L109" si="51">IFERROR(K108/(J108+K108),"-")</f>
        <v>-</v>
      </c>
      <c r="N108" s="26"/>
    </row>
    <row r="109" spans="2:14" hidden="1" outlineLevel="1" x14ac:dyDescent="0.2">
      <c r="B109" s="151"/>
      <c r="C109" s="531"/>
      <c r="D109" s="532"/>
      <c r="E109" s="157"/>
      <c r="G109" s="526" t="s">
        <v>131</v>
      </c>
      <c r="H109" s="526"/>
      <c r="I109" s="122" t="s">
        <v>124</v>
      </c>
      <c r="J109" s="106">
        <f t="shared" si="49"/>
        <v>0</v>
      </c>
      <c r="K109" s="106">
        <f t="shared" si="50"/>
        <v>0</v>
      </c>
      <c r="L109" s="34" t="str">
        <f t="shared" si="51"/>
        <v>-</v>
      </c>
      <c r="N109" s="26"/>
    </row>
    <row r="110" spans="2:14" hidden="1" outlineLevel="1" x14ac:dyDescent="0.2">
      <c r="B110" s="150" t="s">
        <v>130</v>
      </c>
      <c r="C110" s="531"/>
      <c r="D110" s="532"/>
      <c r="E110" s="157"/>
      <c r="G110" s="123"/>
      <c r="H110" s="123"/>
      <c r="I110" s="146"/>
      <c r="J110" s="124"/>
      <c r="K110" s="124"/>
      <c r="L110" s="125"/>
    </row>
    <row r="111" spans="2:14" hidden="1" outlineLevel="1" x14ac:dyDescent="0.2">
      <c r="B111" s="151"/>
      <c r="C111" s="531"/>
      <c r="D111" s="532"/>
      <c r="E111" s="157"/>
      <c r="G111" s="123"/>
      <c r="H111" s="123"/>
      <c r="I111" s="146"/>
      <c r="J111" s="124"/>
      <c r="K111" s="124"/>
      <c r="L111" s="125"/>
    </row>
    <row r="112" spans="2:14" hidden="1" outlineLevel="1" x14ac:dyDescent="0.2">
      <c r="B112" s="151"/>
      <c r="C112" s="531"/>
      <c r="D112" s="532"/>
      <c r="E112" s="157"/>
      <c r="G112" s="123"/>
      <c r="H112" s="123"/>
      <c r="I112" s="146"/>
      <c r="J112" s="124"/>
      <c r="K112" s="124"/>
      <c r="L112" s="125"/>
    </row>
    <row r="113" spans="2:14" hidden="1" outlineLevel="1" x14ac:dyDescent="0.2">
      <c r="B113" s="150" t="s">
        <v>131</v>
      </c>
      <c r="C113" s="531"/>
      <c r="D113" s="532"/>
      <c r="E113" s="157"/>
      <c r="G113" s="123"/>
      <c r="H113" s="123"/>
      <c r="I113" s="146"/>
      <c r="J113" s="124"/>
      <c r="K113" s="124"/>
      <c r="L113" s="125"/>
    </row>
    <row r="114" spans="2:14" hidden="1" outlineLevel="1" x14ac:dyDescent="0.2">
      <c r="B114" s="150"/>
      <c r="C114" s="155"/>
      <c r="D114" s="156"/>
      <c r="E114" s="157"/>
      <c r="G114" s="123"/>
      <c r="H114" s="123"/>
      <c r="I114" s="146"/>
      <c r="J114" s="124"/>
      <c r="K114" s="124"/>
      <c r="L114" s="125"/>
    </row>
    <row r="115" spans="2:14" hidden="1" outlineLevel="1" x14ac:dyDescent="0.2">
      <c r="B115" s="151"/>
      <c r="C115" s="531"/>
      <c r="D115" s="532"/>
      <c r="E115" s="157"/>
      <c r="G115" s="123"/>
      <c r="H115" s="123"/>
      <c r="I115" s="146"/>
      <c r="J115" s="124"/>
      <c r="K115" s="124"/>
      <c r="L115" s="125"/>
    </row>
    <row r="116" spans="2:14" hidden="1" outlineLevel="1" x14ac:dyDescent="0.2">
      <c r="B116" s="151"/>
      <c r="C116" s="531"/>
      <c r="D116" s="532"/>
      <c r="E116" s="157"/>
      <c r="G116" s="123"/>
      <c r="H116" s="123"/>
      <c r="I116" s="146"/>
      <c r="J116" s="124"/>
      <c r="K116" s="124"/>
      <c r="L116" s="125"/>
    </row>
    <row r="117" spans="2:14" collapsed="1" x14ac:dyDescent="0.2">
      <c r="C117" s="148"/>
      <c r="D117" s="148"/>
      <c r="G117" s="123"/>
      <c r="H117" s="123"/>
      <c r="I117" s="3"/>
      <c r="J117" s="124"/>
      <c r="K117" s="124"/>
      <c r="L117" s="125"/>
      <c r="N117" s="26"/>
    </row>
    <row r="118" spans="2:14" ht="34.5" outlineLevel="1" x14ac:dyDescent="0.2">
      <c r="B118" s="149" t="str">
        <f>G118</f>
        <v>PPP KONCESIJAS LĪGUMS</v>
      </c>
      <c r="C118" s="535" t="s">
        <v>242</v>
      </c>
      <c r="D118" s="530"/>
      <c r="E118" s="160" t="s">
        <v>247</v>
      </c>
      <c r="G118" s="529" t="str">
        <f>C49</f>
        <v>PPP KONCESIJAS LĪGUMS</v>
      </c>
      <c r="H118" s="529"/>
      <c r="I118" s="530"/>
      <c r="J118" s="38" t="s">
        <v>133</v>
      </c>
      <c r="K118" s="38" t="s">
        <v>134</v>
      </c>
      <c r="L118" s="38" t="s">
        <v>135</v>
      </c>
      <c r="N118" s="26"/>
    </row>
    <row r="119" spans="2:14" outlineLevel="1" x14ac:dyDescent="0.2">
      <c r="B119" s="150" t="s">
        <v>129</v>
      </c>
      <c r="C119" s="531"/>
      <c r="D119" s="532"/>
      <c r="E119" s="157"/>
      <c r="G119" s="526" t="s">
        <v>129</v>
      </c>
      <c r="H119" s="526"/>
      <c r="I119" s="122" t="s">
        <v>122</v>
      </c>
      <c r="J119" s="106">
        <f>SUMIF($C$52:$C$62,I119,$K$52:$K$62)</f>
        <v>0</v>
      </c>
      <c r="K119" s="106">
        <f>SUMIF($C$52:$C$62,I119,$L$52:$L$62)</f>
        <v>0</v>
      </c>
      <c r="L119" s="34" t="str">
        <f>IFERROR(K119/(J119+K119),"-")</f>
        <v>-</v>
      </c>
      <c r="N119" s="26"/>
    </row>
    <row r="120" spans="2:14" outlineLevel="1" x14ac:dyDescent="0.2">
      <c r="B120" s="151"/>
      <c r="C120" s="531"/>
      <c r="D120" s="532"/>
      <c r="E120" s="157"/>
      <c r="G120" s="526" t="s">
        <v>130</v>
      </c>
      <c r="H120" s="526"/>
      <c r="I120" s="122" t="s">
        <v>123</v>
      </c>
      <c r="J120" s="106">
        <f>SUMIF($C$52:$C$62,I120,$K$52:$K$62)</f>
        <v>0</v>
      </c>
      <c r="K120" s="106">
        <f>SUMIF($C$52:$C$62,I120,$L$52:$L$62)</f>
        <v>0</v>
      </c>
      <c r="L120" s="34" t="str">
        <f t="shared" ref="L120:L121" si="52">IFERROR(K120/(J120+K120),"-")</f>
        <v>-</v>
      </c>
      <c r="N120" s="26"/>
    </row>
    <row r="121" spans="2:14" outlineLevel="1" x14ac:dyDescent="0.2">
      <c r="B121" s="151"/>
      <c r="C121" s="531"/>
      <c r="D121" s="532"/>
      <c r="E121" s="157"/>
      <c r="G121" s="526" t="s">
        <v>131</v>
      </c>
      <c r="H121" s="526"/>
      <c r="I121" s="122" t="s">
        <v>124</v>
      </c>
      <c r="J121" s="106">
        <f>SUMIF($C$52:$C$62,I121,$K$52:$K$62)</f>
        <v>0</v>
      </c>
      <c r="K121" s="106">
        <f>SUMIF($C$52:$C$62,I121,$L$52:$L$62)</f>
        <v>0</v>
      </c>
      <c r="L121" s="34" t="str">
        <f t="shared" si="52"/>
        <v>-</v>
      </c>
      <c r="N121" s="26"/>
    </row>
    <row r="122" spans="2:14" outlineLevel="1" x14ac:dyDescent="0.2">
      <c r="B122" s="150" t="s">
        <v>130</v>
      </c>
      <c r="C122" s="531"/>
      <c r="D122" s="532"/>
      <c r="E122" s="157"/>
      <c r="G122" s="123"/>
      <c r="H122" s="123"/>
      <c r="I122" s="146"/>
      <c r="J122" s="124"/>
      <c r="K122" s="124"/>
      <c r="L122" s="125"/>
    </row>
    <row r="123" spans="2:14" outlineLevel="1" x14ac:dyDescent="0.2">
      <c r="B123" s="151"/>
      <c r="C123" s="531"/>
      <c r="D123" s="532"/>
      <c r="E123" s="157"/>
      <c r="G123" s="123"/>
      <c r="H123" s="123"/>
      <c r="I123" s="146"/>
      <c r="J123" s="124"/>
      <c r="K123" s="124"/>
      <c r="L123" s="125"/>
    </row>
    <row r="124" spans="2:14" outlineLevel="1" x14ac:dyDescent="0.2">
      <c r="B124" s="151"/>
      <c r="C124" s="531"/>
      <c r="D124" s="532"/>
      <c r="E124" s="157"/>
      <c r="G124" s="123"/>
      <c r="H124" s="123"/>
      <c r="I124" s="146"/>
      <c r="J124" s="124"/>
      <c r="K124" s="124"/>
      <c r="L124" s="125"/>
    </row>
    <row r="125" spans="2:14" outlineLevel="1" x14ac:dyDescent="0.2">
      <c r="B125" s="150" t="s">
        <v>131</v>
      </c>
      <c r="C125" s="531"/>
      <c r="D125" s="532"/>
      <c r="E125" s="157"/>
      <c r="G125" s="123"/>
      <c r="H125" s="123"/>
      <c r="I125" s="146"/>
      <c r="J125" s="124"/>
      <c r="K125" s="124"/>
      <c r="L125" s="125"/>
    </row>
    <row r="126" spans="2:14" outlineLevel="1" x14ac:dyDescent="0.2">
      <c r="B126" s="151"/>
      <c r="C126" s="531"/>
      <c r="D126" s="532"/>
      <c r="E126" s="157"/>
      <c r="G126" s="123"/>
      <c r="H126" s="123"/>
      <c r="I126" s="146"/>
      <c r="J126" s="124"/>
      <c r="K126" s="124"/>
      <c r="L126" s="125"/>
    </row>
    <row r="127" spans="2:14" outlineLevel="1" x14ac:dyDescent="0.2">
      <c r="B127" s="151"/>
      <c r="C127" s="155"/>
      <c r="D127" s="156"/>
      <c r="E127" s="157"/>
      <c r="G127" s="123"/>
      <c r="H127" s="123"/>
      <c r="I127" s="146"/>
      <c r="J127" s="124"/>
      <c r="K127" s="124"/>
      <c r="L127" s="125"/>
    </row>
    <row r="128" spans="2:14" outlineLevel="1" x14ac:dyDescent="0.2">
      <c r="B128" s="151"/>
      <c r="C128" s="531"/>
      <c r="D128" s="532"/>
      <c r="E128" s="157"/>
      <c r="G128" s="123"/>
      <c r="H128" s="123"/>
      <c r="I128" s="146"/>
      <c r="J128" s="124"/>
      <c r="K128" s="124"/>
      <c r="L128" s="125"/>
    </row>
    <row r="129" spans="2:14" x14ac:dyDescent="0.2">
      <c r="C129" s="148"/>
      <c r="D129" s="148"/>
      <c r="G129" s="123"/>
      <c r="H129" s="123"/>
      <c r="I129" s="3"/>
      <c r="J129" s="124">
        <f>SUM(J119:J121)</f>
        <v>0</v>
      </c>
      <c r="K129" s="124">
        <f>SUM(K85:K87)</f>
        <v>0</v>
      </c>
      <c r="L129" s="125"/>
      <c r="N129" s="26"/>
    </row>
    <row r="130" spans="2:14" ht="34.5" hidden="1" outlineLevel="1" x14ac:dyDescent="0.2">
      <c r="B130" s="149" t="str">
        <f>G130</f>
        <v>PPP INSTITUCIONĀLĀ PARTNERĪBA</v>
      </c>
      <c r="C130" s="535" t="s">
        <v>242</v>
      </c>
      <c r="D130" s="530"/>
      <c r="E130" s="160" t="s">
        <v>247</v>
      </c>
      <c r="G130" s="529" t="str">
        <f>C64</f>
        <v>PPP INSTITUCIONĀLĀ PARTNERĪBA</v>
      </c>
      <c r="H130" s="529"/>
      <c r="I130" s="530"/>
      <c r="J130" s="38" t="s">
        <v>133</v>
      </c>
      <c r="K130" s="38" t="s">
        <v>134</v>
      </c>
      <c r="L130" s="38" t="s">
        <v>135</v>
      </c>
      <c r="N130" s="26"/>
    </row>
    <row r="131" spans="2:14" hidden="1" outlineLevel="1" x14ac:dyDescent="0.2">
      <c r="B131" s="150" t="s">
        <v>129</v>
      </c>
      <c r="C131" s="531"/>
      <c r="D131" s="532"/>
      <c r="E131" s="157"/>
      <c r="G131" s="526" t="s">
        <v>129</v>
      </c>
      <c r="H131" s="526"/>
      <c r="I131" s="122" t="s">
        <v>122</v>
      </c>
      <c r="J131" s="106">
        <f>SUMIF($C$67:$C$77,I131,$K$67:$K$77)</f>
        <v>0</v>
      </c>
      <c r="K131" s="106">
        <f>SUMIF($C$67:$C$77,I131,$L$67:$L$77)</f>
        <v>0</v>
      </c>
      <c r="L131" s="34" t="str">
        <f>IFERROR(K131/(J131+K131),"-")</f>
        <v>-</v>
      </c>
      <c r="N131" s="26"/>
    </row>
    <row r="132" spans="2:14" hidden="1" outlineLevel="1" x14ac:dyDescent="0.2">
      <c r="B132" s="151"/>
      <c r="C132" s="531"/>
      <c r="D132" s="532"/>
      <c r="E132" s="157"/>
      <c r="G132" s="526" t="s">
        <v>130</v>
      </c>
      <c r="H132" s="526"/>
      <c r="I132" s="122" t="s">
        <v>123</v>
      </c>
      <c r="J132" s="106">
        <f t="shared" ref="J132:J133" si="53">SUMIF($C$67:$C$77,I132,$K$67:$K$77)</f>
        <v>0</v>
      </c>
      <c r="K132" s="106">
        <f t="shared" ref="K132:K133" si="54">SUMIF($C$67:$C$77,I132,$L$67:$L$77)</f>
        <v>0</v>
      </c>
      <c r="L132" s="34" t="str">
        <f t="shared" ref="L132:L133" si="55">IFERROR(K132/(J132+K132),"-")</f>
        <v>-</v>
      </c>
      <c r="N132" s="26"/>
    </row>
    <row r="133" spans="2:14" hidden="1" outlineLevel="1" x14ac:dyDescent="0.2">
      <c r="B133" s="151"/>
      <c r="C133" s="531"/>
      <c r="D133" s="532"/>
      <c r="E133" s="157"/>
      <c r="G133" s="526" t="s">
        <v>131</v>
      </c>
      <c r="H133" s="526"/>
      <c r="I133" s="122" t="s">
        <v>124</v>
      </c>
      <c r="J133" s="106">
        <f t="shared" si="53"/>
        <v>0</v>
      </c>
      <c r="K133" s="106">
        <f t="shared" si="54"/>
        <v>0</v>
      </c>
      <c r="L133" s="34" t="str">
        <f t="shared" si="55"/>
        <v>-</v>
      </c>
      <c r="N133" s="26"/>
    </row>
    <row r="134" spans="2:14" hidden="1" outlineLevel="1" x14ac:dyDescent="0.2">
      <c r="B134" s="150" t="s">
        <v>130</v>
      </c>
      <c r="C134" s="531"/>
      <c r="D134" s="532"/>
      <c r="E134" s="157"/>
      <c r="G134" s="123"/>
      <c r="H134" s="123"/>
      <c r="I134" s="146"/>
      <c r="J134" s="124"/>
      <c r="K134" s="124"/>
      <c r="L134" s="125"/>
    </row>
    <row r="135" spans="2:14" hidden="1" outlineLevel="1" x14ac:dyDescent="0.2">
      <c r="B135" s="151"/>
      <c r="C135" s="531"/>
      <c r="D135" s="532"/>
      <c r="E135" s="157"/>
      <c r="G135" s="123"/>
      <c r="H135" s="123"/>
      <c r="I135" s="146"/>
      <c r="J135" s="124"/>
      <c r="K135" s="124"/>
      <c r="L135" s="125"/>
    </row>
    <row r="136" spans="2:14" hidden="1" outlineLevel="1" x14ac:dyDescent="0.2">
      <c r="B136" s="151"/>
      <c r="C136" s="531"/>
      <c r="D136" s="532"/>
      <c r="E136" s="157"/>
      <c r="G136" s="123"/>
      <c r="H136" s="123"/>
      <c r="I136" s="146"/>
      <c r="J136" s="124"/>
      <c r="K136" s="124"/>
      <c r="L136" s="125"/>
    </row>
    <row r="137" spans="2:14" hidden="1" outlineLevel="1" x14ac:dyDescent="0.2">
      <c r="B137" s="150" t="s">
        <v>131</v>
      </c>
      <c r="C137" s="531"/>
      <c r="D137" s="532"/>
      <c r="E137" s="157"/>
      <c r="G137" s="123"/>
      <c r="H137" s="123"/>
      <c r="I137" s="146"/>
      <c r="J137" s="124"/>
      <c r="K137" s="124"/>
      <c r="L137" s="125"/>
    </row>
    <row r="138" spans="2:14" hidden="1" outlineLevel="1" x14ac:dyDescent="0.2">
      <c r="B138" s="151"/>
      <c r="C138" s="531"/>
      <c r="D138" s="532"/>
      <c r="E138" s="157"/>
      <c r="G138" s="123"/>
      <c r="H138" s="123"/>
      <c r="I138" s="146"/>
      <c r="J138" s="124"/>
      <c r="K138" s="124"/>
      <c r="L138" s="125"/>
    </row>
    <row r="139" spans="2:14" hidden="1" outlineLevel="1" x14ac:dyDescent="0.2">
      <c r="B139" s="151"/>
      <c r="C139" s="531"/>
      <c r="D139" s="532"/>
      <c r="E139" s="157"/>
      <c r="G139" s="123"/>
      <c r="H139" s="123"/>
      <c r="I139" s="146"/>
      <c r="J139" s="124"/>
      <c r="K139" s="124"/>
      <c r="L139" s="125"/>
    </row>
    <row r="140" spans="2:14" hidden="1" outlineLevel="1" x14ac:dyDescent="0.2">
      <c r="B140" s="151"/>
      <c r="C140" s="158"/>
      <c r="D140" s="159"/>
      <c r="E140" s="157"/>
      <c r="G140" s="123"/>
      <c r="H140" s="123"/>
      <c r="I140" s="3"/>
      <c r="J140" s="124"/>
      <c r="K140" s="124"/>
      <c r="L140" s="125"/>
      <c r="N140" s="26"/>
    </row>
    <row r="141" spans="2:14" collapsed="1" x14ac:dyDescent="0.2">
      <c r="N141" s="26"/>
    </row>
    <row r="142" spans="2:14" x14ac:dyDescent="0.2">
      <c r="N142" s="26"/>
    </row>
    <row r="143" spans="2:14" ht="12.75" x14ac:dyDescent="0.2">
      <c r="B143" s="533" t="s">
        <v>186</v>
      </c>
      <c r="C143" s="533"/>
      <c r="D143" s="533"/>
      <c r="E143" s="533"/>
      <c r="F143" s="533"/>
      <c r="G143" s="533"/>
      <c r="H143" s="533"/>
      <c r="I143" s="533"/>
      <c r="N143" s="26"/>
    </row>
    <row r="144" spans="2:14" ht="14.45" customHeight="1" x14ac:dyDescent="0.2">
      <c r="B144" s="534" t="s">
        <v>190</v>
      </c>
      <c r="C144" s="534"/>
      <c r="D144" s="534"/>
      <c r="E144" s="534"/>
      <c r="F144" s="534"/>
      <c r="G144" s="534"/>
      <c r="H144" s="534"/>
      <c r="I144" s="534"/>
      <c r="N144" s="26"/>
    </row>
    <row r="145" spans="2:14" x14ac:dyDescent="0.2">
      <c r="B145" s="534"/>
      <c r="C145" s="534"/>
      <c r="D145" s="534"/>
      <c r="E145" s="534"/>
      <c r="F145" s="534"/>
      <c r="G145" s="534"/>
      <c r="H145" s="534"/>
      <c r="I145" s="534"/>
      <c r="N145" s="26"/>
    </row>
    <row r="146" spans="2:14" x14ac:dyDescent="0.2">
      <c r="B146" s="522" t="s">
        <v>244</v>
      </c>
      <c r="C146" s="522"/>
      <c r="D146" s="522" t="s">
        <v>245</v>
      </c>
      <c r="E146" s="522"/>
      <c r="F146" s="522" t="s">
        <v>187</v>
      </c>
      <c r="G146" s="522"/>
      <c r="H146" s="522" t="s">
        <v>188</v>
      </c>
      <c r="I146" s="522"/>
      <c r="J146" s="522" t="s">
        <v>189</v>
      </c>
      <c r="K146" s="522"/>
      <c r="N146" s="26"/>
    </row>
    <row r="147" spans="2:14" x14ac:dyDescent="0.2">
      <c r="B147" s="1" t="str">
        <f>NPV_Bāze_I!B14</f>
        <v>Kapitālieguldījumu izmaksas</v>
      </c>
      <c r="D147" s="1" t="str">
        <f>NPV_Bāze_II!B13</f>
        <v>Kapitālieguldījumu izmaksas</v>
      </c>
      <c r="F147" s="1" t="str">
        <f>NPV_PPP_partnerība!B13</f>
        <v>Kapitālieguldījumu izmaksas</v>
      </c>
      <c r="H147" s="1" t="str">
        <f>NPV_PPP_koncesija!B14</f>
        <v>Kapitālieguldījumu izmaksas</v>
      </c>
      <c r="J147" s="1" t="str">
        <f>NPV_PPP_institucionālā!B73</f>
        <v>Kapitālieguldījumu izmaksas</v>
      </c>
      <c r="N147" s="26"/>
    </row>
    <row r="148" spans="2:14" x14ac:dyDescent="0.2">
      <c r="B148" s="1" t="str">
        <f>NPV_Bāze_I!B15</f>
        <v>Kapitālieguldījumu izmaksas 1</v>
      </c>
      <c r="D148" s="1" t="str">
        <f>NPV_Bāze_II!B14</f>
        <v>Kapitālieguldījumu izmaksas 1</v>
      </c>
      <c r="F148" s="1" t="str">
        <f>NPV_PPP_partnerība!B14</f>
        <v>Kapitālieguldījumu izmaksas 1</v>
      </c>
      <c r="H148" s="1" t="str">
        <f>NPV_PPP_koncesija!B15</f>
        <v>Kapitālieguldījumu izmaksas</v>
      </c>
      <c r="J148" s="1" t="str">
        <f>NPV_PPP_institucionālā!B74</f>
        <v>Kapitālieguldījumu izmaksas 1</v>
      </c>
      <c r="N148" s="26"/>
    </row>
    <row r="149" spans="2:14" x14ac:dyDescent="0.2">
      <c r="B149" s="1" t="str">
        <f>NPV_Bāze_I!B16</f>
        <v>Kapitālieguldījumu izmaksu sadārdzinājums PIL rezultātā</v>
      </c>
      <c r="D149" s="1" t="str">
        <f>NPV_Bāze_II!B15</f>
        <v>Kapitālieguldījumu izmaksas 2</v>
      </c>
      <c r="F149" s="1" t="str">
        <f>NPV_PPP_partnerība!B15</f>
        <v>Kapitālieguldījumu izmaksas 2</v>
      </c>
      <c r="H149" s="1" t="str">
        <f>NPV_PPP_koncesija!B16</f>
        <v>Kapitālieguldījumu vadība</v>
      </c>
      <c r="J149" s="1" t="str">
        <f>NPV_PPP_institucionālā!B75</f>
        <v>Kapitālieguldījumu izmaksas 2</v>
      </c>
      <c r="N149" s="26"/>
    </row>
    <row r="150" spans="2:14" x14ac:dyDescent="0.2">
      <c r="B150" s="1" t="str">
        <f>NPV_Bāze_I!B17</f>
        <v>Kapitālieguldījumu vadības riska izmaksas</v>
      </c>
      <c r="D150" s="1" t="str">
        <f>NPV_Bāze_II!B16</f>
        <v>Kapitālieguldījumu izmaksas 3</v>
      </c>
      <c r="F150" s="1" t="str">
        <f>NPV_PPP_partnerība!B16</f>
        <v>Kapitālieguldījumu izmaksas 3</v>
      </c>
      <c r="H150" s="1">
        <f>NPV_PPP_koncesija!B17</f>
        <v>0</v>
      </c>
      <c r="J150" s="1" t="str">
        <f>NPV_PPP_institucionālā!B76</f>
        <v>Kapitālieguldījumu izmaksas 3</v>
      </c>
      <c r="N150" s="26"/>
    </row>
    <row r="151" spans="2:14" x14ac:dyDescent="0.2">
      <c r="B151" s="1" t="str">
        <f>NPV_Bāze_I!B18</f>
        <v>…</v>
      </c>
      <c r="D151" s="1" t="str">
        <f>NPV_Bāze_II!B17</f>
        <v>…</v>
      </c>
      <c r="F151" s="1" t="str">
        <f>NPV_PPP_partnerība!B17</f>
        <v>…</v>
      </c>
      <c r="H151" s="1">
        <f>NPV_PPP_koncesija!B18</f>
        <v>0</v>
      </c>
      <c r="J151" s="1" t="str">
        <f>NPV_PPP_institucionālā!B77</f>
        <v>…</v>
      </c>
      <c r="N151" s="26"/>
    </row>
    <row r="152" spans="2:14" x14ac:dyDescent="0.2">
      <c r="B152" s="1" t="str">
        <f>NPV_Bāze_I!B20</f>
        <v>Projekta īstenošanas izmaksas</v>
      </c>
      <c r="D152" s="1" t="str">
        <f>NPV_Bāze_II!B19</f>
        <v>Projekta īstenošanas izmaksas</v>
      </c>
      <c r="F152" s="1" t="str">
        <f>NPV_PPP_partnerība!B19</f>
        <v>Projekta īstenošanas izmaksas</v>
      </c>
      <c r="H152" s="1" t="str">
        <f>NPV_PPP_koncesija!B20</f>
        <v>Projekta īstenošanas izmaksas</v>
      </c>
      <c r="J152" s="1" t="str">
        <f>NPV_PPP_institucionālā!B79</f>
        <v>Projekta īstenošanas izmaksas</v>
      </c>
      <c r="N152" s="26"/>
    </row>
    <row r="153" spans="2:14" x14ac:dyDescent="0.2">
      <c r="B153" s="1" t="str">
        <f>NPV_Bāze_I!B21</f>
        <v>Mainīgās izmaksas</v>
      </c>
      <c r="D153" s="1" t="str">
        <f>NPV_Bāze_II!B20</f>
        <v>Mainīgās izmaksas</v>
      </c>
      <c r="F153" s="1" t="str">
        <f>NPV_PPP_partnerība!B20</f>
        <v>Mainīgās izmaksas</v>
      </c>
      <c r="H153" s="1" t="str">
        <f>NPV_PPP_koncesija!B21</f>
        <v>Mainīgās izmaksas</v>
      </c>
      <c r="J153" s="1" t="str">
        <f>NPV_PPP_institucionālā!B80</f>
        <v>Mainīgās izmaksas</v>
      </c>
      <c r="N153" s="26"/>
    </row>
    <row r="154" spans="2:14" x14ac:dyDescent="0.2">
      <c r="B154" s="1" t="str">
        <f>NPV_Bāze_I!B22</f>
        <v>Mainīgās īstenošanas izmaksas 1</v>
      </c>
      <c r="D154" s="1" t="str">
        <f>NPV_Bāze_II!B21</f>
        <v>Mainīgās īstenošanas izmaksas 1</v>
      </c>
      <c r="F154" s="1" t="str">
        <f>NPV_PPP_partnerība!B21</f>
        <v>Mainīgās īstenošanas izmaksas 1</v>
      </c>
      <c r="H154" s="1" t="str">
        <f>NPV_PPP_koncesija!B22</f>
        <v>Mainīgās īstenošanas izmaksas 1</v>
      </c>
      <c r="J154" s="1" t="str">
        <f>NPV_PPP_institucionālā!B81</f>
        <v>Mainīgās īstenošanas izmaksas 1</v>
      </c>
      <c r="N154" s="26"/>
    </row>
    <row r="155" spans="2:14" x14ac:dyDescent="0.2">
      <c r="B155" s="1" t="str">
        <f>NPV_Bāze_I!B23</f>
        <v>Kurināmā iepirkuma izmaksu sadārdzinājums PIL rezultātā</v>
      </c>
      <c r="D155" s="1" t="str">
        <f>NPV_Bāze_II!B22</f>
        <v>Mainīgās īstenošanas izmaksas 2</v>
      </c>
      <c r="F155" s="1" t="str">
        <f>NPV_PPP_partnerība!B22</f>
        <v>Mainīgās īstenošanas izmaksas 2</v>
      </c>
      <c r="H155" s="1" t="str">
        <f>NPV_PPP_koncesija!B23</f>
        <v>Saimniecības ikdienas tehniskā vadība</v>
      </c>
      <c r="J155" s="1" t="str">
        <f>NPV_PPP_institucionālā!B82</f>
        <v>Mainīgās īstenošanas izmaksas 2</v>
      </c>
      <c r="N155" s="26"/>
    </row>
    <row r="156" spans="2:14" x14ac:dyDescent="0.2">
      <c r="B156" s="1" t="str">
        <f>NPV_Bāze_I!B24</f>
        <v>Kurināmā materiāla iegādes riska izmaksas</v>
      </c>
      <c r="D156" s="1" t="str">
        <f>NPV_Bāze_II!B23</f>
        <v>Mainīgās īstenošanas izmaksas 3</v>
      </c>
      <c r="F156" s="1" t="str">
        <f>NPV_PPP_partnerība!B23</f>
        <v>Mainīgās īstenošanas izmaksas 3</v>
      </c>
      <c r="H156" s="1">
        <f>NPV_PPP_koncesija!B24</f>
        <v>0</v>
      </c>
      <c r="J156" s="1" t="str">
        <f>NPV_PPP_institucionālā!B83</f>
        <v>Mainīgās īstenošanas izmaksas 3</v>
      </c>
      <c r="N156" s="26"/>
    </row>
    <row r="157" spans="2:14" x14ac:dyDescent="0.2">
      <c r="B157" s="1">
        <f>NPV_Bāze_I!B25</f>
        <v>0</v>
      </c>
      <c r="D157" s="1" t="str">
        <f>NPV_Bāze_II!B24</f>
        <v>…</v>
      </c>
      <c r="F157" s="1" t="str">
        <f>NPV_PPP_partnerība!B24</f>
        <v>…</v>
      </c>
      <c r="H157" s="1">
        <f>NPV_PPP_koncesija!B25</f>
        <v>0</v>
      </c>
      <c r="J157" s="1" t="str">
        <f>NPV_PPP_institucionālā!B84</f>
        <v>…</v>
      </c>
      <c r="N157" s="26"/>
    </row>
    <row r="158" spans="2:14" x14ac:dyDescent="0.2">
      <c r="B158" s="1" t="str">
        <f>NPV_Bāze_I!B26</f>
        <v>Fiksētās izmaksas</v>
      </c>
      <c r="D158" s="1" t="str">
        <f>NPV_Bāze_II!B25</f>
        <v>Fiksētās izmaksas</v>
      </c>
      <c r="F158" s="1" t="str">
        <f>NPV_PPP_partnerība!B25</f>
        <v>Fiksētās izmaksas</v>
      </c>
      <c r="H158" s="1" t="str">
        <f>NPV_PPP_koncesija!B26</f>
        <v>Fiksētās izmaksas</v>
      </c>
      <c r="J158" s="1" t="str">
        <f>NPV_PPP_institucionālā!B85</f>
        <v>Fiksētās izmaksas</v>
      </c>
      <c r="N158" s="26"/>
    </row>
    <row r="159" spans="2:14" x14ac:dyDescent="0.2">
      <c r="B159" s="1" t="str">
        <f>NPV_Bāze_I!B27</f>
        <v>Saimniecības vadība</v>
      </c>
      <c r="D159" s="1" t="str">
        <f>NPV_Bāze_II!B26</f>
        <v>Fiksētās īstenošanas izmaksas 1</v>
      </c>
      <c r="F159" s="1" t="str">
        <f>NPV_PPP_partnerība!B26</f>
        <v>Fiksētās īstenošanas izmaksas 1</v>
      </c>
      <c r="H159" s="1" t="str">
        <f>NPV_PPP_koncesija!B27</f>
        <v>Uzņēmuma vadība</v>
      </c>
      <c r="J159" s="1" t="str">
        <f>NPV_PPP_institucionālā!B86</f>
        <v>Fiksētās īstenošanas izmaksas 1</v>
      </c>
      <c r="N159" s="26"/>
    </row>
    <row r="160" spans="2:14" x14ac:dyDescent="0.2">
      <c r="B160" s="1">
        <f>NPV_Bāze_I!B28</f>
        <v>0</v>
      </c>
      <c r="D160" s="1" t="str">
        <f>NPV_Bāze_II!B27</f>
        <v>Fiksētās īstenošanas izmaksas 2</v>
      </c>
      <c r="F160" s="1" t="str">
        <f>NPV_PPP_partnerība!B27</f>
        <v>Fiksētās īstenošanas izmaksas 2</v>
      </c>
      <c r="H160" s="1" t="str">
        <f>NPV_PPP_koncesija!B28</f>
        <v>Dalība pašvaldības komsijās</v>
      </c>
      <c r="J160" s="1" t="str">
        <f>NPV_PPP_institucionālā!B87</f>
        <v>Fiksētās īstenošanas izmaksas 2</v>
      </c>
      <c r="N160" s="26"/>
    </row>
    <row r="161" spans="2:14" x14ac:dyDescent="0.2">
      <c r="B161" s="1" t="str">
        <f>NPV_Bāze_I!B29</f>
        <v>Kredīta pamastummas maksājumi</v>
      </c>
      <c r="D161" s="1" t="str">
        <f>NPV_Bāze_II!B28</f>
        <v>Fiksētās īstenošanas izmaksas 3</v>
      </c>
      <c r="F161" s="1" t="str">
        <f>NPV_PPP_partnerība!B28</f>
        <v>Fiksētās īstenošanas izmaksas 3</v>
      </c>
      <c r="H161" s="1">
        <f>NPV_PPP_koncesija!B29</f>
        <v>0</v>
      </c>
      <c r="J161" s="1" t="str">
        <f>NPV_PPP_institucionālā!B88</f>
        <v>Fiksētās īstenošanas izmaksas 3</v>
      </c>
      <c r="N161" s="26"/>
    </row>
    <row r="162" spans="2:14" x14ac:dyDescent="0.2">
      <c r="B162" s="1" t="str">
        <f>NPV_Bāze_I!B30</f>
        <v>Kredīta % maksājumi</v>
      </c>
      <c r="D162" s="1" t="str">
        <f>NPV_Bāze_II!B29</f>
        <v>…</v>
      </c>
      <c r="F162" s="1" t="str">
        <f>NPV_PPP_partnerība!B29</f>
        <v>…</v>
      </c>
      <c r="H162" s="1">
        <f>NPV_PPP_koncesija!B30</f>
        <v>0</v>
      </c>
      <c r="J162" s="1" t="str">
        <f>NPV_PPP_institucionālā!B89</f>
        <v>…</v>
      </c>
      <c r="N162" s="26"/>
    </row>
    <row r="163" spans="2:14" x14ac:dyDescent="0.2">
      <c r="B163" s="1" t="str">
        <f>NPV_Bāze_I!B32</f>
        <v>Projekta ieņēmumi</v>
      </c>
      <c r="D163" s="1" t="str">
        <f>NPV_Bāze_II!B31</f>
        <v>Projekta ieņēmumi</v>
      </c>
      <c r="F163" s="1" t="str">
        <f>NPV_PPP_partnerība!B31</f>
        <v>Projekta ieņēmumi</v>
      </c>
      <c r="H163" s="100" t="str">
        <f>NPV_PPP_koncesija!B34</f>
        <v>Projekta ieņēmumi</v>
      </c>
      <c r="J163" s="1" t="str">
        <f>NPV_PPP_institucionālā!B94</f>
        <v>Publiskā partnera peļņas daļa</v>
      </c>
      <c r="N163" s="26"/>
    </row>
    <row r="164" spans="2:14" x14ac:dyDescent="0.2">
      <c r="B164" s="1" t="str">
        <f>NPV_Bāze_I!B33</f>
        <v>Ienākums no privātā sektora</v>
      </c>
      <c r="D164" s="1" t="str">
        <f>NPV_Bāze_II!B32</f>
        <v>Ieņēmumi 1</v>
      </c>
      <c r="F164" s="1" t="str">
        <f>NPV_PPP_partnerība!B49</f>
        <v>Publiskā partnera maksājumi privātajam partnerim</v>
      </c>
      <c r="H164" s="100" t="str">
        <f>NPV_PPP_koncesija!B52</f>
        <v>Sabiedrības maksājumi privātajam partnerim</v>
      </c>
      <c r="J164" s="1" t="str">
        <f>NPV_PPP_institucionālā!B57</f>
        <v>Publiskā partnera maksājumi privātajam dalībniekam</v>
      </c>
      <c r="N164" s="26"/>
    </row>
    <row r="165" spans="2:14" x14ac:dyDescent="0.2">
      <c r="B165" s="1" t="str">
        <f>NPV_Bāze_I!B34</f>
        <v>Ienākums no pašvaldības</v>
      </c>
      <c r="D165" s="1" t="str">
        <f>NPV_Bāze_II!B33</f>
        <v>Ieņēmumi 2</v>
      </c>
      <c r="F165" s="1" t="str">
        <f>NPV_PPP_partnerība!B33</f>
        <v>Ieņēmumi 2</v>
      </c>
      <c r="H165" s="100" t="str">
        <f>NPV_PPP_koncesija!B35</f>
        <v>Ienākums no privātā sektora</v>
      </c>
      <c r="J165" s="1" t="str">
        <f>NPV_PPP_institucionālā!B13</f>
        <v>Projekta ieņēmumi</v>
      </c>
      <c r="N165" s="26"/>
    </row>
    <row r="166" spans="2:14" x14ac:dyDescent="0.2">
      <c r="B166" s="1">
        <f>NPV_Bāze_I!B35</f>
        <v>0</v>
      </c>
      <c r="D166" s="1" t="str">
        <f>NPV_Bāze_II!B34</f>
        <v>Ieņēmumi 3</v>
      </c>
      <c r="F166" s="1" t="str">
        <f>NPV_PPP_partnerība!B34</f>
        <v>Ieņēmumi 3</v>
      </c>
      <c r="H166" s="100" t="e">
        <f>NPV_PPP_koncesija!#REF!</f>
        <v>#REF!</v>
      </c>
      <c r="J166" s="1" t="str">
        <f>NPV_PPP_institucionālā!B14</f>
        <v>Ieņēmumi 1</v>
      </c>
      <c r="N166" s="26"/>
    </row>
    <row r="167" spans="2:14" x14ac:dyDescent="0.2">
      <c r="B167" s="1" t="str">
        <f>NPV_Bāze_I!B36</f>
        <v>Kredītresursi kapitālieguldījumu finansēšanai</v>
      </c>
      <c r="F167" s="1" t="str">
        <f>NPV_PPP_partnerība!B35</f>
        <v>…</v>
      </c>
      <c r="H167" s="100">
        <f>NPV_PPP_koncesija!B38</f>
        <v>0</v>
      </c>
      <c r="J167" s="1" t="str">
        <f>NPV_PPP_institucionālā!B15</f>
        <v>Ieņēmumi 2</v>
      </c>
      <c r="N167" s="26"/>
    </row>
    <row r="168" spans="2:14" x14ac:dyDescent="0.2">
      <c r="J168" s="1" t="str">
        <f>NPV_PPP_institucionālā!B16</f>
        <v>Ieņēmumi 3</v>
      </c>
      <c r="N168" s="26"/>
    </row>
    <row r="169" spans="2:14" x14ac:dyDescent="0.2">
      <c r="J169" s="1" t="str">
        <f>NPV_PPP_institucionālā!B17</f>
        <v>…</v>
      </c>
      <c r="N169" s="26"/>
    </row>
    <row r="170" spans="2:14" x14ac:dyDescent="0.2">
      <c r="N170" s="26"/>
    </row>
    <row r="171" spans="2:14" x14ac:dyDescent="0.2">
      <c r="N171" s="26"/>
    </row>
  </sheetData>
  <mergeCells count="84">
    <mergeCell ref="C130:D130"/>
    <mergeCell ref="C120:D120"/>
    <mergeCell ref="C121:D121"/>
    <mergeCell ref="C122:D122"/>
    <mergeCell ref="C123:D123"/>
    <mergeCell ref="C124:D124"/>
    <mergeCell ref="C125:D125"/>
    <mergeCell ref="C107:D107"/>
    <mergeCell ref="C108:D108"/>
    <mergeCell ref="C106:D106"/>
    <mergeCell ref="C109:D109"/>
    <mergeCell ref="C111:D111"/>
    <mergeCell ref="C113:D113"/>
    <mergeCell ref="C116:D116"/>
    <mergeCell ref="C118:D118"/>
    <mergeCell ref="C119:D119"/>
    <mergeCell ref="C110:D110"/>
    <mergeCell ref="C112:D112"/>
    <mergeCell ref="C115:D115"/>
    <mergeCell ref="C19:L19"/>
    <mergeCell ref="G95:I95"/>
    <mergeCell ref="G96:H96"/>
    <mergeCell ref="G97:H97"/>
    <mergeCell ref="G98:H98"/>
    <mergeCell ref="C85:D85"/>
    <mergeCell ref="C86:D86"/>
    <mergeCell ref="C87:D87"/>
    <mergeCell ref="C88:D88"/>
    <mergeCell ref="C89:D89"/>
    <mergeCell ref="C90:D90"/>
    <mergeCell ref="C91:D91"/>
    <mergeCell ref="C93:D93"/>
    <mergeCell ref="C84:D84"/>
    <mergeCell ref="B82:E82"/>
    <mergeCell ref="G87:H87"/>
    <mergeCell ref="G106:I106"/>
    <mergeCell ref="G84:I84"/>
    <mergeCell ref="C95:D95"/>
    <mergeCell ref="C96:D96"/>
    <mergeCell ref="C97:D97"/>
    <mergeCell ref="C98:D98"/>
    <mergeCell ref="C99:D99"/>
    <mergeCell ref="C100:D100"/>
    <mergeCell ref="C101:D101"/>
    <mergeCell ref="C102:D102"/>
    <mergeCell ref="C103:D103"/>
    <mergeCell ref="C104:D104"/>
    <mergeCell ref="H146:I146"/>
    <mergeCell ref="C134:D134"/>
    <mergeCell ref="C135:D135"/>
    <mergeCell ref="C136:D136"/>
    <mergeCell ref="C126:D126"/>
    <mergeCell ref="C128:D128"/>
    <mergeCell ref="C131:D131"/>
    <mergeCell ref="C132:D132"/>
    <mergeCell ref="D146:E146"/>
    <mergeCell ref="C137:D137"/>
    <mergeCell ref="C138:D138"/>
    <mergeCell ref="C139:D139"/>
    <mergeCell ref="B143:I143"/>
    <mergeCell ref="B144:I145"/>
    <mergeCell ref="C133:D133"/>
    <mergeCell ref="F146:G146"/>
    <mergeCell ref="G121:H121"/>
    <mergeCell ref="G130:I130"/>
    <mergeCell ref="G131:H131"/>
    <mergeCell ref="G132:H132"/>
    <mergeCell ref="G133:H133"/>
    <mergeCell ref="J146:K146"/>
    <mergeCell ref="B2:L2"/>
    <mergeCell ref="C34:L34"/>
    <mergeCell ref="G120:H120"/>
    <mergeCell ref="B80:L80"/>
    <mergeCell ref="C49:L49"/>
    <mergeCell ref="C64:L64"/>
    <mergeCell ref="C4:L4"/>
    <mergeCell ref="G107:H107"/>
    <mergeCell ref="G108:H108"/>
    <mergeCell ref="G109:H109"/>
    <mergeCell ref="G118:I118"/>
    <mergeCell ref="G119:H119"/>
    <mergeCell ref="G85:H85"/>
    <mergeCell ref="G86:H86"/>
    <mergeCell ref="B146:C146"/>
  </mergeCells>
  <phoneticPr fontId="57" type="noConversion"/>
  <dataValidations count="6">
    <dataValidation type="list" allowBlank="1" showInputMessage="1" showErrorMessage="1" sqref="C7:C11 C73:C77 C67:C71 C58:C62 C52:C56 C43:C47 C37:C41 C13:C17 C22:C26 C28:C32" xr:uid="{00000000-0002-0000-0700-000000000000}">
      <formula1>$N$4:$N$6</formula1>
    </dataValidation>
    <dataValidation type="list" allowBlank="1" showInputMessage="1" showErrorMessage="1" sqref="D27 D7:D17" xr:uid="{00000000-0002-0000-0700-000001000000}">
      <formula1>$B$147:$B$167</formula1>
    </dataValidation>
    <dataValidation type="list" allowBlank="1" showInputMessage="1" showErrorMessage="1" sqref="D37:D47" xr:uid="{00000000-0002-0000-0700-000002000000}">
      <formula1>$F$147:$F$167</formula1>
    </dataValidation>
    <dataValidation type="list" allowBlank="1" showInputMessage="1" showErrorMessage="1" sqref="D52:D62" xr:uid="{00000000-0002-0000-0700-000003000000}">
      <formula1>H$147:H$167</formula1>
    </dataValidation>
    <dataValidation type="list" allowBlank="1" showInputMessage="1" showErrorMessage="1" sqref="D67:D77" xr:uid="{00000000-0002-0000-0700-000004000000}">
      <formula1>$J$147:$J$169</formula1>
    </dataValidation>
    <dataValidation type="list" allowBlank="1" showInputMessage="1" showErrorMessage="1" sqref="D22:D26 D28:D32" xr:uid="{696305EF-014B-44C0-9504-884FDE6BF27A}">
      <formula1>$D$147:$D$166</formula1>
    </dataValidation>
  </dataValidations>
  <pageMargins left="0.7" right="0.7" top="0.75" bottom="0.75" header="0.3" footer="0.3"/>
  <pageSetup paperSize="9" scale="58" orientation="portrait" r:id="rId1"/>
  <rowBreaks count="1" manualBreakCount="1">
    <brk id="78"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R50"/>
  <sheetViews>
    <sheetView tabSelected="1" topLeftCell="A14" zoomScaleNormal="100" workbookViewId="0">
      <selection activeCell="C28" sqref="C28"/>
    </sheetView>
  </sheetViews>
  <sheetFormatPr defaultColWidth="0" defaultRowHeight="12" zeroHeight="1" outlineLevelRow="1" outlineLevelCol="1" x14ac:dyDescent="0.2"/>
  <cols>
    <col min="1" max="1" width="8.85546875" style="1" customWidth="1"/>
    <col min="2" max="2" width="20.7109375" style="1" customWidth="1" outlineLevel="1"/>
    <col min="3" max="3" width="13.7109375" style="1" customWidth="1" outlineLevel="1"/>
    <col min="4" max="4" width="3.7109375" style="1" customWidth="1"/>
    <col min="5" max="5" width="20.7109375" style="1" hidden="1" customWidth="1" outlineLevel="1"/>
    <col min="6" max="6" width="13.7109375" style="1" hidden="1" customWidth="1" outlineLevel="1"/>
    <col min="7" max="7" width="3.7109375" style="1" customWidth="1" collapsed="1"/>
    <col min="8" max="8" width="20.7109375" style="1" hidden="1" customWidth="1" outlineLevel="1"/>
    <col min="9" max="9" width="13.7109375" style="1" hidden="1" customWidth="1" outlineLevel="1"/>
    <col min="10" max="10" width="3.7109375" style="1" customWidth="1" collapsed="1"/>
    <col min="11" max="11" width="20.7109375" style="1" customWidth="1" outlineLevel="1"/>
    <col min="12" max="12" width="13.7109375" style="1" customWidth="1" outlineLevel="1"/>
    <col min="13" max="13" width="3.7109375" style="1" customWidth="1"/>
    <col min="14" max="14" width="20.7109375" style="1" hidden="1" customWidth="1" outlineLevel="1"/>
    <col min="15" max="15" width="13.7109375" style="1" hidden="1" customWidth="1" outlineLevel="1"/>
    <col min="16" max="16" width="3.7109375" style="1" customWidth="1" collapsed="1"/>
    <col min="17" max="17" width="6.85546875" style="1" customWidth="1"/>
    <col min="18" max="18" width="0" style="1" hidden="1" customWidth="1"/>
    <col min="19" max="16384" width="8.85546875" style="1" hidden="1"/>
  </cols>
  <sheetData>
    <row r="1" spans="2:18" x14ac:dyDescent="0.2"/>
    <row r="2" spans="2:18" ht="15" x14ac:dyDescent="0.25">
      <c r="B2" s="527" t="s">
        <v>229</v>
      </c>
      <c r="C2" s="527"/>
      <c r="D2" s="527"/>
      <c r="E2" s="527"/>
      <c r="F2" s="527"/>
      <c r="G2" s="527"/>
      <c r="H2" s="527"/>
      <c r="I2" s="527"/>
      <c r="J2" s="527"/>
      <c r="K2" s="527"/>
      <c r="L2" s="527"/>
      <c r="M2" s="527"/>
      <c r="N2" s="527"/>
      <c r="O2" s="527"/>
    </row>
    <row r="3" spans="2:18" x14ac:dyDescent="0.2">
      <c r="B3" s="191"/>
      <c r="C3" s="191"/>
      <c r="D3" s="191" t="s">
        <v>329</v>
      </c>
      <c r="E3" s="191"/>
      <c r="F3" s="191"/>
      <c r="G3" s="191"/>
      <c r="H3" s="191"/>
      <c r="I3" s="191"/>
      <c r="J3" s="191"/>
      <c r="K3" s="191"/>
      <c r="L3" s="191"/>
    </row>
    <row r="4" spans="2:18" outlineLevel="1" x14ac:dyDescent="0.2">
      <c r="B4" s="192" t="s">
        <v>230</v>
      </c>
      <c r="C4" s="193"/>
      <c r="D4" s="193"/>
      <c r="E4" s="193"/>
      <c r="F4" s="193"/>
      <c r="G4" s="193"/>
      <c r="H4" s="193"/>
      <c r="I4" s="193"/>
      <c r="J4" s="191"/>
      <c r="K4" s="191"/>
      <c r="L4" s="191"/>
    </row>
    <row r="5" spans="2:18" outlineLevel="1" x14ac:dyDescent="0.2">
      <c r="B5" s="194">
        <v>-0.05</v>
      </c>
      <c r="C5" s="193"/>
      <c r="D5" s="193"/>
      <c r="E5" s="193"/>
      <c r="F5" s="193"/>
      <c r="G5" s="193"/>
      <c r="H5" s="193"/>
      <c r="I5" s="193"/>
      <c r="J5" s="191"/>
      <c r="K5" s="191"/>
      <c r="L5" s="191"/>
    </row>
    <row r="6" spans="2:18" outlineLevel="1" x14ac:dyDescent="0.2">
      <c r="B6" s="194">
        <v>-0.01</v>
      </c>
      <c r="C6" s="193"/>
      <c r="D6" s="193"/>
      <c r="E6" s="193"/>
      <c r="F6" s="193"/>
      <c r="G6" s="193"/>
      <c r="H6" s="193"/>
      <c r="I6" s="193"/>
      <c r="J6" s="191"/>
      <c r="K6" s="191"/>
      <c r="L6" s="191"/>
    </row>
    <row r="7" spans="2:18" outlineLevel="1" x14ac:dyDescent="0.2">
      <c r="B7" s="194">
        <v>0.01</v>
      </c>
      <c r="C7" s="193"/>
      <c r="D7" s="193"/>
      <c r="E7" s="193"/>
      <c r="F7" s="193"/>
      <c r="G7" s="193"/>
      <c r="H7" s="193"/>
      <c r="I7" s="193"/>
      <c r="J7" s="191"/>
      <c r="K7" s="191"/>
      <c r="L7" s="191"/>
    </row>
    <row r="8" spans="2:18" outlineLevel="1" x14ac:dyDescent="0.2">
      <c r="B8" s="194">
        <v>0.05</v>
      </c>
      <c r="C8" s="191"/>
      <c r="D8" s="191"/>
      <c r="E8" s="191"/>
      <c r="F8" s="191"/>
      <c r="G8" s="191"/>
      <c r="H8" s="191"/>
      <c r="I8" s="191"/>
      <c r="J8" s="191"/>
      <c r="K8" s="191"/>
      <c r="L8" s="191"/>
    </row>
    <row r="9" spans="2:18" x14ac:dyDescent="0.2">
      <c r="B9" s="193"/>
      <c r="C9" s="191"/>
      <c r="D9" s="191"/>
      <c r="E9" s="191"/>
      <c r="F9" s="191"/>
      <c r="G9" s="191"/>
      <c r="H9" s="191"/>
      <c r="I9" s="191"/>
      <c r="J9" s="191"/>
      <c r="K9" s="191"/>
      <c r="L9" s="191"/>
    </row>
    <row r="10" spans="2:18" ht="15" x14ac:dyDescent="0.2">
      <c r="B10" s="539" t="s">
        <v>236</v>
      </c>
      <c r="C10" s="539"/>
      <c r="D10" s="195"/>
      <c r="E10" s="539" t="s">
        <v>237</v>
      </c>
      <c r="F10" s="539"/>
      <c r="G10" s="191"/>
      <c r="H10" s="539" t="s">
        <v>217</v>
      </c>
      <c r="I10" s="539"/>
      <c r="J10" s="191"/>
      <c r="K10" s="539" t="s">
        <v>141</v>
      </c>
      <c r="L10" s="539"/>
      <c r="N10" s="541" t="s">
        <v>218</v>
      </c>
      <c r="O10" s="541"/>
    </row>
    <row r="11" spans="2:18" ht="15" x14ac:dyDescent="0.2">
      <c r="B11" s="539"/>
      <c r="C11" s="539"/>
      <c r="D11" s="195"/>
      <c r="E11" s="539"/>
      <c r="F11" s="539"/>
      <c r="G11" s="191"/>
      <c r="H11" s="539"/>
      <c r="I11" s="539"/>
      <c r="J11" s="191"/>
      <c r="K11" s="539"/>
      <c r="L11" s="539"/>
      <c r="N11" s="541"/>
      <c r="O11" s="541"/>
    </row>
    <row r="12" spans="2:18" x14ac:dyDescent="0.2">
      <c r="B12" s="191"/>
      <c r="C12" s="191"/>
      <c r="D12" s="191"/>
      <c r="E12" s="191"/>
      <c r="F12" s="191"/>
      <c r="G12" s="191"/>
      <c r="H12" s="191"/>
      <c r="I12" s="191"/>
      <c r="J12" s="191"/>
      <c r="K12" s="191"/>
      <c r="L12" s="191"/>
    </row>
    <row r="13" spans="2:18" x14ac:dyDescent="0.2">
      <c r="B13" s="540" t="s">
        <v>316</v>
      </c>
      <c r="C13" s="131" t="s">
        <v>232</v>
      </c>
      <c r="D13" s="495"/>
      <c r="E13" s="540" t="s">
        <v>234</v>
      </c>
      <c r="F13" s="131" t="s">
        <v>232</v>
      </c>
      <c r="H13" s="540" t="s">
        <v>231</v>
      </c>
      <c r="I13" s="131" t="s">
        <v>232</v>
      </c>
      <c r="K13" s="540" t="str">
        <f>B13</f>
        <v>Kapitālieguldīumu svārstība</v>
      </c>
      <c r="L13" s="131" t="s">
        <v>232</v>
      </c>
      <c r="N13" s="540" t="s">
        <v>231</v>
      </c>
      <c r="O13" s="131" t="s">
        <v>232</v>
      </c>
    </row>
    <row r="14" spans="2:18" x14ac:dyDescent="0.2">
      <c r="B14" s="540"/>
      <c r="C14" s="164">
        <f>-NPV_Bāze_I!AA62</f>
        <v>-32351196.439830698</v>
      </c>
      <c r="D14" s="496"/>
      <c r="E14" s="540"/>
      <c r="F14" s="164"/>
      <c r="G14" s="121"/>
      <c r="H14" s="540"/>
      <c r="I14" s="164"/>
      <c r="J14" s="121"/>
      <c r="K14" s="540"/>
      <c r="L14" s="164">
        <f>NPV_PPP_koncesija!E70</f>
        <v>-31246878.333038617</v>
      </c>
      <c r="M14" s="121"/>
      <c r="N14" s="540"/>
      <c r="O14" s="164"/>
      <c r="P14" s="121"/>
      <c r="Q14" s="121"/>
      <c r="R14" s="121"/>
    </row>
    <row r="15" spans="2:18" x14ac:dyDescent="0.2">
      <c r="B15" s="132">
        <v>0.01</v>
      </c>
      <c r="C15" s="133">
        <v>-32611048.831462227</v>
      </c>
      <c r="D15" s="199"/>
      <c r="E15" s="197"/>
      <c r="F15" s="198"/>
      <c r="G15" s="196"/>
      <c r="H15" s="197"/>
      <c r="I15" s="198"/>
      <c r="J15" s="196"/>
      <c r="K15" s="132">
        <v>0.01</v>
      </c>
      <c r="L15" s="198">
        <v>-31484633.138764415</v>
      </c>
      <c r="M15" s="121"/>
      <c r="N15" s="132"/>
      <c r="O15" s="133"/>
      <c r="P15" s="121"/>
      <c r="Q15" s="121"/>
      <c r="R15" s="121"/>
    </row>
    <row r="16" spans="2:18" x14ac:dyDescent="0.2">
      <c r="B16" s="130" t="s">
        <v>233</v>
      </c>
      <c r="C16" s="135">
        <f>IFERROR((C15-C14)/C14,"-")</f>
        <v>8.0322343600127029E-3</v>
      </c>
      <c r="D16" s="202"/>
      <c r="E16" s="200" t="s">
        <v>233</v>
      </c>
      <c r="F16" s="201" t="str">
        <f>IFERROR((F15-F14)/F14,"-")</f>
        <v>-</v>
      </c>
      <c r="G16" s="196"/>
      <c r="H16" s="200" t="s">
        <v>233</v>
      </c>
      <c r="I16" s="201" t="str">
        <f>IFERROR((I15-I14)/I14,"-")</f>
        <v>-</v>
      </c>
      <c r="J16" s="196"/>
      <c r="K16" s="130" t="s">
        <v>233</v>
      </c>
      <c r="L16" s="201">
        <f>IFERROR((L15-L14)/L14,"-")</f>
        <v>7.608913863066123E-3</v>
      </c>
      <c r="M16" s="121"/>
      <c r="N16" s="130" t="s">
        <v>233</v>
      </c>
      <c r="O16" s="135" t="str">
        <f>IFERROR((O15-O14)/O14,"-")</f>
        <v>-</v>
      </c>
      <c r="P16" s="121"/>
      <c r="Q16" s="121"/>
      <c r="R16" s="121"/>
    </row>
    <row r="17" spans="2:18" x14ac:dyDescent="0.2">
      <c r="B17" s="132">
        <v>0.05</v>
      </c>
      <c r="C17" s="133">
        <v>-32891300.032357596</v>
      </c>
      <c r="D17" s="199"/>
      <c r="E17" s="197"/>
      <c r="F17" s="198"/>
      <c r="G17" s="196"/>
      <c r="H17" s="197"/>
      <c r="I17" s="198"/>
      <c r="J17" s="196"/>
      <c r="K17" s="132">
        <v>0.05</v>
      </c>
      <c r="L17" s="198">
        <v>-31981251.718966633</v>
      </c>
      <c r="M17" s="121"/>
      <c r="N17" s="132"/>
      <c r="O17" s="133"/>
      <c r="P17" s="121"/>
      <c r="Q17" s="121"/>
      <c r="R17" s="121"/>
    </row>
    <row r="18" spans="2:18" x14ac:dyDescent="0.2">
      <c r="B18" s="130" t="s">
        <v>233</v>
      </c>
      <c r="C18" s="135">
        <f>IFERROR((C17-C14)/C14,"-")</f>
        <v>1.6695011374043767E-2</v>
      </c>
      <c r="D18" s="202"/>
      <c r="E18" s="200" t="s">
        <v>233</v>
      </c>
      <c r="F18" s="201" t="str">
        <f>IFERROR((F17-F14)/F14,"-")</f>
        <v>-</v>
      </c>
      <c r="G18" s="196"/>
      <c r="H18" s="200" t="s">
        <v>233</v>
      </c>
      <c r="I18" s="201" t="str">
        <f>IFERROR((I17-I14)/I14,"-")</f>
        <v>-</v>
      </c>
      <c r="J18" s="196"/>
      <c r="K18" s="130" t="s">
        <v>233</v>
      </c>
      <c r="L18" s="201">
        <f>IFERROR((L17-L14)/L14,"-")</f>
        <v>2.3502296072613844E-2</v>
      </c>
      <c r="M18" s="121"/>
      <c r="N18" s="130" t="s">
        <v>233</v>
      </c>
      <c r="O18" s="135" t="str">
        <f>IFERROR((O17-O14)/O14,"-")</f>
        <v>-</v>
      </c>
      <c r="P18" s="121"/>
      <c r="Q18" s="121"/>
      <c r="R18" s="121"/>
    </row>
    <row r="19" spans="2:18" hidden="1" x14ac:dyDescent="0.2">
      <c r="B19" s="132"/>
      <c r="C19" s="198"/>
      <c r="D19" s="199"/>
      <c r="E19" s="197"/>
      <c r="F19" s="198"/>
      <c r="G19" s="196"/>
      <c r="H19" s="197"/>
      <c r="I19" s="198"/>
      <c r="J19" s="196"/>
      <c r="K19" s="132"/>
      <c r="L19" s="198"/>
      <c r="M19" s="121"/>
      <c r="N19" s="132"/>
      <c r="O19" s="133"/>
      <c r="P19" s="121"/>
      <c r="Q19" s="121"/>
      <c r="R19" s="121"/>
    </row>
    <row r="20" spans="2:18" hidden="1" x14ac:dyDescent="0.2">
      <c r="B20" s="130" t="s">
        <v>233</v>
      </c>
      <c r="C20" s="201">
        <f>IFERROR((C19-C14)/C14,"-")</f>
        <v>-1</v>
      </c>
      <c r="D20" s="202"/>
      <c r="E20" s="200" t="s">
        <v>233</v>
      </c>
      <c r="F20" s="201" t="str">
        <f>IFERROR((F19-F14)/F14,"-")</f>
        <v>-</v>
      </c>
      <c r="G20" s="196"/>
      <c r="H20" s="200" t="s">
        <v>233</v>
      </c>
      <c r="I20" s="201" t="str">
        <f>IFERROR((I19-I14)/I14,"-")</f>
        <v>-</v>
      </c>
      <c r="J20" s="196"/>
      <c r="K20" s="130" t="s">
        <v>233</v>
      </c>
      <c r="L20" s="201">
        <f>IFERROR((L19-L14)/L14,"-")</f>
        <v>-1</v>
      </c>
      <c r="M20" s="121"/>
      <c r="N20" s="130" t="s">
        <v>233</v>
      </c>
      <c r="O20" s="135" t="str">
        <f>IFERROR((O19-O14)/O14,"-")</f>
        <v>-</v>
      </c>
      <c r="P20" s="121"/>
      <c r="Q20" s="121"/>
      <c r="R20" s="121"/>
    </row>
    <row r="21" spans="2:18" hidden="1" x14ac:dyDescent="0.2">
      <c r="B21" s="132"/>
      <c r="C21" s="198"/>
      <c r="D21" s="199"/>
      <c r="E21" s="197"/>
      <c r="F21" s="198"/>
      <c r="G21" s="196"/>
      <c r="H21" s="197"/>
      <c r="I21" s="198"/>
      <c r="J21" s="196"/>
      <c r="K21" s="132"/>
      <c r="L21" s="198"/>
      <c r="M21" s="121"/>
      <c r="N21" s="132"/>
      <c r="O21" s="133"/>
      <c r="P21" s="121"/>
      <c r="Q21" s="121"/>
      <c r="R21" s="121"/>
    </row>
    <row r="22" spans="2:18" hidden="1" x14ac:dyDescent="0.2">
      <c r="B22" s="130" t="s">
        <v>233</v>
      </c>
      <c r="C22" s="201">
        <f>IFERROR((C21-C14)/C14,"-")</f>
        <v>-1</v>
      </c>
      <c r="D22" s="202"/>
      <c r="E22" s="200" t="s">
        <v>233</v>
      </c>
      <c r="F22" s="201" t="str">
        <f>IFERROR((F21-F14)/F14,"-")</f>
        <v>-</v>
      </c>
      <c r="G22" s="196"/>
      <c r="H22" s="200" t="s">
        <v>233</v>
      </c>
      <c r="I22" s="201" t="str">
        <f>IFERROR((I21-I14)/I14,"-")</f>
        <v>-</v>
      </c>
      <c r="J22" s="196"/>
      <c r="K22" s="130" t="s">
        <v>233</v>
      </c>
      <c r="L22" s="201">
        <f>IFERROR((L21-L14)/L14,"-")</f>
        <v>-1</v>
      </c>
      <c r="M22" s="121"/>
      <c r="N22" s="130" t="s">
        <v>233</v>
      </c>
      <c r="O22" s="135" t="str">
        <f>IFERROR((O21-O14)/O14,"-")</f>
        <v>-</v>
      </c>
      <c r="P22" s="121"/>
      <c r="Q22" s="121"/>
      <c r="R22" s="121"/>
    </row>
    <row r="23" spans="2:18" x14ac:dyDescent="0.2">
      <c r="B23" s="121"/>
      <c r="C23" s="196"/>
      <c r="D23" s="196"/>
      <c r="E23" s="196"/>
      <c r="F23" s="196"/>
      <c r="G23" s="196"/>
      <c r="H23" s="196"/>
      <c r="I23" s="196"/>
      <c r="J23" s="196"/>
      <c r="K23" s="121"/>
      <c r="L23" s="196"/>
      <c r="M23" s="121"/>
      <c r="N23" s="121"/>
      <c r="O23" s="121"/>
      <c r="P23" s="121"/>
      <c r="Q23" s="121"/>
      <c r="R23" s="121"/>
    </row>
    <row r="24" spans="2:18" ht="12" customHeight="1" x14ac:dyDescent="0.2">
      <c r="B24" s="540" t="s">
        <v>317</v>
      </c>
      <c r="C24" s="131" t="s">
        <v>232</v>
      </c>
      <c r="D24" s="495"/>
      <c r="E24" s="540" t="s">
        <v>234</v>
      </c>
      <c r="F24" s="131" t="s">
        <v>232</v>
      </c>
      <c r="H24" s="540" t="s">
        <v>231</v>
      </c>
      <c r="I24" s="131" t="s">
        <v>232</v>
      </c>
      <c r="K24" s="540" t="str">
        <f>B24</f>
        <v>Uzturēšanas izmaksu svārstība</v>
      </c>
      <c r="L24" s="131" t="s">
        <v>232</v>
      </c>
      <c r="M24" s="121"/>
      <c r="N24" s="121"/>
      <c r="O24" s="121"/>
      <c r="P24" s="121"/>
      <c r="Q24" s="121"/>
      <c r="R24" s="121"/>
    </row>
    <row r="25" spans="2:18" ht="12" customHeight="1" x14ac:dyDescent="0.2">
      <c r="B25" s="540"/>
      <c r="C25" s="164">
        <f>C14</f>
        <v>-32351196.439830698</v>
      </c>
      <c r="D25" s="496"/>
      <c r="E25" s="540"/>
      <c r="F25" s="164"/>
      <c r="G25" s="121"/>
      <c r="H25" s="540"/>
      <c r="I25" s="164"/>
      <c r="J25" s="121"/>
      <c r="K25" s="540"/>
      <c r="L25" s="164">
        <f>L14</f>
        <v>-31246878.333038617</v>
      </c>
      <c r="M25" s="121"/>
      <c r="N25" s="121"/>
      <c r="O25" s="121"/>
      <c r="P25" s="121"/>
      <c r="Q25" s="121"/>
      <c r="R25" s="121"/>
    </row>
    <row r="26" spans="2:18" x14ac:dyDescent="0.2">
      <c r="B26" s="132">
        <v>0.01</v>
      </c>
      <c r="C26" s="133">
        <v>-32611048.831462227</v>
      </c>
      <c r="D26" s="199"/>
      <c r="E26" s="197"/>
      <c r="F26" s="198"/>
      <c r="G26" s="196"/>
      <c r="H26" s="197"/>
      <c r="I26" s="198"/>
      <c r="J26" s="196"/>
      <c r="K26" s="132">
        <v>0.01</v>
      </c>
      <c r="L26" s="198">
        <v>-31583956.854804866</v>
      </c>
      <c r="M26" s="121"/>
      <c r="N26" s="121"/>
      <c r="O26" s="121"/>
      <c r="P26" s="121"/>
      <c r="Q26" s="121"/>
      <c r="R26" s="121"/>
    </row>
    <row r="27" spans="2:18" x14ac:dyDescent="0.2">
      <c r="B27" s="130" t="s">
        <v>233</v>
      </c>
      <c r="C27" s="135">
        <f>IFERROR((C26-C25)/C25,"-")</f>
        <v>8.0322343600127029E-3</v>
      </c>
      <c r="D27" s="202"/>
      <c r="E27" s="200" t="s">
        <v>233</v>
      </c>
      <c r="F27" s="201" t="str">
        <f>IFERROR((F26-F25)/F25,"-")</f>
        <v>-</v>
      </c>
      <c r="G27" s="196"/>
      <c r="H27" s="200" t="s">
        <v>233</v>
      </c>
      <c r="I27" s="201" t="str">
        <f>IFERROR((I26-I25)/I25,"-")</f>
        <v>-</v>
      </c>
      <c r="J27" s="196"/>
      <c r="K27" s="130" t="s">
        <v>233</v>
      </c>
      <c r="L27" s="201">
        <f>IFERROR((L26-L25)/L25,"-")</f>
        <v>1.0787590304975907E-2</v>
      </c>
      <c r="M27" s="121"/>
      <c r="N27" s="121"/>
      <c r="O27" s="121"/>
      <c r="P27" s="121"/>
      <c r="Q27" s="121"/>
      <c r="R27" s="121"/>
    </row>
    <row r="28" spans="2:18" x14ac:dyDescent="0.2">
      <c r="B28" s="132">
        <v>0.05</v>
      </c>
      <c r="C28" s="133">
        <v>-33502757.197947517</v>
      </c>
      <c r="D28" s="199"/>
      <c r="E28" s="197"/>
      <c r="F28" s="198"/>
      <c r="G28" s="196"/>
      <c r="H28" s="197"/>
      <c r="I28" s="198"/>
      <c r="J28" s="196"/>
      <c r="K28" s="132">
        <v>0.05</v>
      </c>
      <c r="L28" s="198">
        <v>-32477870.299168848</v>
      </c>
      <c r="M28" s="121"/>
      <c r="N28" s="121"/>
      <c r="O28" s="121"/>
      <c r="P28" s="121"/>
      <c r="Q28" s="121"/>
      <c r="R28" s="121"/>
    </row>
    <row r="29" spans="2:18" x14ac:dyDescent="0.2">
      <c r="B29" s="130" t="s">
        <v>233</v>
      </c>
      <c r="C29" s="135">
        <f>IFERROR((C28-C25)/C25,"-")</f>
        <v>3.5595615768294141E-2</v>
      </c>
      <c r="D29" s="202"/>
      <c r="E29" s="200" t="s">
        <v>233</v>
      </c>
      <c r="F29" s="201" t="str">
        <f>IFERROR((F28-F25)/F25,"-")</f>
        <v>-</v>
      </c>
      <c r="G29" s="196"/>
      <c r="H29" s="200" t="s">
        <v>233</v>
      </c>
      <c r="I29" s="201" t="str">
        <f>IFERROR((I28-I25)/I25,"-")</f>
        <v>-</v>
      </c>
      <c r="J29" s="196"/>
      <c r="K29" s="130" t="s">
        <v>233</v>
      </c>
      <c r="L29" s="201">
        <f>IFERROR((L28-L25)/L25,"-")</f>
        <v>3.939567828216145E-2</v>
      </c>
      <c r="M29" s="121"/>
      <c r="N29" s="121"/>
      <c r="O29" s="121"/>
      <c r="P29" s="121"/>
      <c r="Q29" s="121"/>
      <c r="R29" s="121"/>
    </row>
    <row r="30" spans="2:18" hidden="1" x14ac:dyDescent="0.2">
      <c r="B30" s="132"/>
      <c r="C30" s="133"/>
      <c r="D30" s="137"/>
      <c r="E30" s="132"/>
      <c r="F30" s="133"/>
      <c r="G30" s="121"/>
      <c r="H30" s="132"/>
      <c r="I30" s="133"/>
      <c r="J30" s="121"/>
      <c r="K30" s="132"/>
      <c r="L30" s="133"/>
      <c r="M30" s="121"/>
      <c r="N30" s="121"/>
      <c r="O30" s="121"/>
      <c r="P30" s="121"/>
      <c r="Q30" s="121"/>
      <c r="R30" s="121"/>
    </row>
    <row r="31" spans="2:18" hidden="1" x14ac:dyDescent="0.2">
      <c r="B31" s="130" t="s">
        <v>233</v>
      </c>
      <c r="C31" s="135">
        <f>IFERROR((C30-C25)/C25,"-")</f>
        <v>-1</v>
      </c>
      <c r="D31" s="138"/>
      <c r="E31" s="130" t="s">
        <v>233</v>
      </c>
      <c r="F31" s="135" t="str">
        <f>IFERROR((F30-F25)/F25,"-")</f>
        <v>-</v>
      </c>
      <c r="G31" s="121"/>
      <c r="H31" s="130" t="s">
        <v>233</v>
      </c>
      <c r="I31" s="135" t="str">
        <f>IFERROR((I30-I25)/I25,"-")</f>
        <v>-</v>
      </c>
      <c r="J31" s="121"/>
      <c r="K31" s="130" t="s">
        <v>233</v>
      </c>
      <c r="L31" s="135">
        <f>IFERROR((L30-L25)/L25,"-")</f>
        <v>-1</v>
      </c>
    </row>
    <row r="32" spans="2:18" hidden="1" x14ac:dyDescent="0.2">
      <c r="B32" s="132"/>
      <c r="C32" s="133"/>
      <c r="D32" s="137"/>
      <c r="E32" s="132"/>
      <c r="F32" s="133"/>
      <c r="G32" s="121"/>
      <c r="H32" s="132"/>
      <c r="I32" s="133"/>
      <c r="J32" s="121"/>
      <c r="K32" s="132"/>
      <c r="L32" s="133"/>
    </row>
    <row r="33" spans="2:12" hidden="1" x14ac:dyDescent="0.2">
      <c r="B33" s="130" t="s">
        <v>233</v>
      </c>
      <c r="C33" s="135">
        <f>IFERROR((C32-C25)/C25,"-")</f>
        <v>-1</v>
      </c>
      <c r="D33" s="138"/>
      <c r="E33" s="130" t="s">
        <v>233</v>
      </c>
      <c r="F33" s="135" t="str">
        <f>IFERROR((F32-F25)/F25,"-")</f>
        <v>-</v>
      </c>
      <c r="G33" s="121"/>
      <c r="H33" s="130" t="s">
        <v>233</v>
      </c>
      <c r="I33" s="135" t="str">
        <f>IFERROR((I32-I25)/I25,"-")</f>
        <v>-</v>
      </c>
      <c r="J33" s="121"/>
      <c r="K33" s="130" t="s">
        <v>233</v>
      </c>
      <c r="L33" s="135">
        <f>IFERROR((L32-L25)/L25,"-")</f>
        <v>-1</v>
      </c>
    </row>
    <row r="34" spans="2:12" x14ac:dyDescent="0.2"/>
    <row r="35" spans="2:12" x14ac:dyDescent="0.2"/>
    <row r="36" spans="2:12" x14ac:dyDescent="0.2"/>
    <row r="37" spans="2:12" x14ac:dyDescent="0.2"/>
    <row r="38" spans="2:12" x14ac:dyDescent="0.2"/>
    <row r="39" spans="2:12" x14ac:dyDescent="0.2"/>
    <row r="40" spans="2:12" x14ac:dyDescent="0.2"/>
    <row r="41" spans="2:12" x14ac:dyDescent="0.2"/>
    <row r="42" spans="2:12" x14ac:dyDescent="0.2"/>
    <row r="43" spans="2:12" x14ac:dyDescent="0.2"/>
    <row r="44" spans="2:12" x14ac:dyDescent="0.2"/>
    <row r="45" spans="2:12" x14ac:dyDescent="0.2"/>
    <row r="46" spans="2:12" x14ac:dyDescent="0.2"/>
    <row r="47" spans="2:12" x14ac:dyDescent="0.2"/>
    <row r="48" spans="2:12" x14ac:dyDescent="0.2"/>
    <row r="49" x14ac:dyDescent="0.2"/>
    <row r="50" x14ac:dyDescent="0.2"/>
  </sheetData>
  <mergeCells count="15">
    <mergeCell ref="B24:B25"/>
    <mergeCell ref="E24:E25"/>
    <mergeCell ref="H24:H25"/>
    <mergeCell ref="K24:K25"/>
    <mergeCell ref="B13:B14"/>
    <mergeCell ref="B10:C11"/>
    <mergeCell ref="H10:I11"/>
    <mergeCell ref="H13:H14"/>
    <mergeCell ref="B2:O2"/>
    <mergeCell ref="K10:L11"/>
    <mergeCell ref="K13:K14"/>
    <mergeCell ref="N10:O11"/>
    <mergeCell ref="N13:N14"/>
    <mergeCell ref="E10:F11"/>
    <mergeCell ref="E13:E14"/>
  </mergeCells>
  <dataValidations count="1">
    <dataValidation type="list" allowBlank="1" showInputMessage="1" showErrorMessage="1" sqref="B15 B17 B19 B21 H15 H17 H19 H21 K15 K17 K19 K21 N15 N17 N19 N21 E15 E17 E19 E21 B26 B28 B30 B32 H26 H28 H30 H32 K26 K28 K30 K32 E26 E28 E30 E32" xr:uid="{00000000-0002-0000-0800-000000000000}">
      <formula1>$B$5:$B$8</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67FA1-85B9-4511-8341-9D2076316871}">
  <dimension ref="A1:AJ30"/>
  <sheetViews>
    <sheetView showGridLines="0" topLeftCell="D1" zoomScale="85" zoomScaleNormal="85" workbookViewId="0">
      <selection activeCell="G28" sqref="G28:M29"/>
    </sheetView>
  </sheetViews>
  <sheetFormatPr defaultColWidth="9.140625" defaultRowHeight="15.75" x14ac:dyDescent="0.25"/>
  <cols>
    <col min="1" max="1" width="9.140625" style="203"/>
    <col min="2" max="2" width="11.140625" style="204" customWidth="1"/>
    <col min="3" max="3" width="29.7109375" style="205" customWidth="1"/>
    <col min="4" max="4" width="12.28515625" style="205" customWidth="1"/>
    <col min="5" max="5" width="25" style="205" customWidth="1"/>
    <col min="6" max="6" width="12.28515625" style="205" customWidth="1"/>
    <col min="7" max="13" width="13.28515625" style="204" customWidth="1"/>
    <col min="14" max="14" width="16.42578125" style="204" customWidth="1"/>
    <col min="15" max="15" width="13.28515625" style="204" customWidth="1"/>
    <col min="16" max="19" width="0" style="204" hidden="1" customWidth="1"/>
    <col min="20" max="20" width="0" style="205" hidden="1" customWidth="1"/>
    <col min="21" max="36" width="0" style="204" hidden="1" customWidth="1"/>
  </cols>
  <sheetData>
    <row r="1" spans="2:27" ht="15.75" customHeight="1" x14ac:dyDescent="0.25">
      <c r="B1" s="210"/>
      <c r="C1" s="211"/>
      <c r="D1" s="211"/>
      <c r="E1" s="211"/>
      <c r="F1" s="211"/>
      <c r="G1" s="208"/>
      <c r="H1" s="208"/>
      <c r="I1" s="208"/>
      <c r="J1" s="208"/>
      <c r="K1" s="208"/>
      <c r="L1" s="208"/>
      <c r="M1" s="208"/>
      <c r="N1" s="208"/>
      <c r="O1" s="212"/>
      <c r="X1"/>
      <c r="Y1"/>
      <c r="AA1"/>
    </row>
    <row r="2" spans="2:27" ht="15.75" hidden="1" customHeight="1" x14ac:dyDescent="0.25">
      <c r="B2" s="210"/>
      <c r="C2" s="209" t="s">
        <v>331</v>
      </c>
      <c r="D2" s="206" t="s">
        <v>330</v>
      </c>
      <c r="E2" s="206" t="s">
        <v>330</v>
      </c>
      <c r="F2" s="206" t="s">
        <v>330</v>
      </c>
      <c r="G2" s="213">
        <v>0</v>
      </c>
      <c r="H2" s="213">
        <v>0</v>
      </c>
      <c r="I2" s="213">
        <v>0</v>
      </c>
      <c r="J2" s="213">
        <v>0</v>
      </c>
      <c r="K2" s="213">
        <v>0</v>
      </c>
      <c r="L2" s="213">
        <v>0</v>
      </c>
      <c r="M2" s="213">
        <v>0</v>
      </c>
      <c r="N2" s="213">
        <v>0</v>
      </c>
      <c r="O2" s="207">
        <v>0</v>
      </c>
      <c r="X2"/>
      <c r="Y2"/>
      <c r="AA2"/>
    </row>
    <row r="3" spans="2:27" ht="15.75" customHeight="1" x14ac:dyDescent="0.25">
      <c r="B3" s="210"/>
      <c r="C3" s="214"/>
      <c r="D3" s="214"/>
      <c r="E3" s="214"/>
      <c r="F3" s="214"/>
      <c r="G3" s="208"/>
      <c r="H3" s="208"/>
      <c r="I3" s="208"/>
      <c r="J3" s="208"/>
      <c r="K3" s="208"/>
      <c r="L3" s="208"/>
      <c r="M3" s="208"/>
      <c r="N3" s="208"/>
      <c r="O3" s="215"/>
      <c r="X3"/>
      <c r="Y3"/>
      <c r="AA3"/>
    </row>
    <row r="4" spans="2:27" ht="15.75" customHeight="1" x14ac:dyDescent="0.25">
      <c r="B4" s="210"/>
      <c r="C4" s="209" t="s">
        <v>530</v>
      </c>
      <c r="D4" s="216"/>
      <c r="E4" s="216"/>
      <c r="F4" s="217"/>
      <c r="G4" s="207">
        <v>2609473</v>
      </c>
      <c r="H4" s="207">
        <v>2431758</v>
      </c>
      <c r="I4" s="207">
        <v>2327173</v>
      </c>
      <c r="J4" s="207">
        <v>2054681</v>
      </c>
      <c r="K4" s="207">
        <v>1999546</v>
      </c>
      <c r="L4" s="207">
        <v>1947319</v>
      </c>
      <c r="M4" s="207">
        <v>1880628</v>
      </c>
      <c r="N4" s="207">
        <v>16861768</v>
      </c>
      <c r="O4" s="218">
        <v>32112346</v>
      </c>
      <c r="X4"/>
      <c r="Y4"/>
      <c r="AA4"/>
    </row>
    <row r="5" spans="2:27" ht="15.75" customHeight="1" x14ac:dyDescent="0.25">
      <c r="B5" s="210"/>
      <c r="C5" s="214"/>
      <c r="D5" s="214"/>
      <c r="E5" s="214"/>
      <c r="F5" s="214"/>
      <c r="G5" s="208"/>
      <c r="H5" s="208"/>
      <c r="I5" s="208"/>
      <c r="J5" s="208"/>
      <c r="K5" s="208"/>
      <c r="L5" s="208"/>
      <c r="M5" s="208"/>
      <c r="N5" s="208"/>
      <c r="O5" s="219"/>
      <c r="X5"/>
      <c r="Y5"/>
      <c r="AA5"/>
    </row>
    <row r="6" spans="2:27" ht="18.75" customHeight="1" x14ac:dyDescent="0.25">
      <c r="B6" s="210"/>
      <c r="C6" s="542" t="s">
        <v>332</v>
      </c>
      <c r="D6" s="543"/>
      <c r="E6" s="543"/>
      <c r="F6" s="544"/>
      <c r="G6" s="220">
        <v>9.74</v>
      </c>
      <c r="H6" s="220">
        <v>9.08</v>
      </c>
      <c r="I6" s="220">
        <v>8.69</v>
      </c>
      <c r="J6" s="220">
        <v>7.67</v>
      </c>
      <c r="K6" s="220">
        <v>7.46</v>
      </c>
      <c r="L6" s="220">
        <v>7.27</v>
      </c>
      <c r="M6" s="220">
        <v>7.02</v>
      </c>
      <c r="N6" s="221" t="s">
        <v>330</v>
      </c>
      <c r="O6" s="221" t="s">
        <v>330</v>
      </c>
      <c r="X6"/>
      <c r="Y6"/>
      <c r="AA6"/>
    </row>
    <row r="7" spans="2:27" ht="15.75" customHeight="1" x14ac:dyDescent="0.25">
      <c r="B7" s="211"/>
      <c r="C7" s="222"/>
      <c r="D7" s="223"/>
      <c r="E7" s="223"/>
      <c r="F7" s="223"/>
      <c r="G7" s="224"/>
      <c r="H7" s="224"/>
      <c r="I7" s="224"/>
      <c r="J7" s="224"/>
      <c r="K7" s="224"/>
      <c r="L7" s="224"/>
      <c r="M7" s="224"/>
      <c r="N7" s="224"/>
      <c r="O7" s="225"/>
      <c r="X7"/>
      <c r="Y7"/>
      <c r="AA7"/>
    </row>
    <row r="8" spans="2:27" ht="48" customHeight="1" x14ac:dyDescent="0.25">
      <c r="B8" s="211"/>
      <c r="C8" s="545" t="s">
        <v>333</v>
      </c>
      <c r="D8" s="546"/>
      <c r="E8" s="546"/>
      <c r="F8" s="547"/>
      <c r="G8" s="226"/>
      <c r="H8" s="227"/>
      <c r="I8" s="227"/>
      <c r="J8" s="227"/>
      <c r="K8" s="227"/>
      <c r="L8" s="227"/>
      <c r="M8" s="227"/>
      <c r="N8" s="228"/>
      <c r="O8" s="229">
        <v>26794386</v>
      </c>
      <c r="X8"/>
      <c r="Y8"/>
      <c r="AA8"/>
    </row>
    <row r="9" spans="2:27" ht="15.75" customHeight="1" x14ac:dyDescent="0.25">
      <c r="B9" s="230"/>
      <c r="C9" s="230"/>
      <c r="D9" s="231"/>
      <c r="E9" s="231"/>
      <c r="F9" s="231"/>
      <c r="G9" s="232"/>
      <c r="H9" s="232"/>
      <c r="I9" s="232"/>
      <c r="J9" s="232"/>
      <c r="K9" s="232"/>
      <c r="L9" s="232"/>
      <c r="M9" s="232"/>
      <c r="N9" s="232"/>
      <c r="T9" s="204"/>
      <c r="W9"/>
      <c r="Y9"/>
    </row>
    <row r="10" spans="2:27" ht="15.75" customHeight="1" x14ac:dyDescent="0.25">
      <c r="B10" s="230"/>
      <c r="C10" s="233" t="s">
        <v>334</v>
      </c>
      <c r="D10" s="234"/>
      <c r="E10" s="234"/>
      <c r="F10" s="234"/>
    </row>
    <row r="11" spans="2:27" ht="15.75" customHeight="1" x14ac:dyDescent="0.25">
      <c r="B11" s="230"/>
      <c r="C11" s="234"/>
      <c r="D11" s="234"/>
      <c r="E11" s="234"/>
      <c r="F11" s="234"/>
    </row>
    <row r="12" spans="2:27" ht="63.75" customHeight="1" x14ac:dyDescent="0.25">
      <c r="C12" s="548" t="s">
        <v>503</v>
      </c>
      <c r="D12" s="548"/>
      <c r="E12" s="548"/>
    </row>
    <row r="14" spans="2:27" x14ac:dyDescent="0.25">
      <c r="E14" s="456" t="s">
        <v>358</v>
      </c>
      <c r="F14" s="235"/>
      <c r="G14" s="236">
        <v>2025</v>
      </c>
      <c r="H14" s="236">
        <f>G14+1</f>
        <v>2026</v>
      </c>
      <c r="I14" s="236">
        <f t="shared" ref="I14:M14" si="0">H14+1</f>
        <v>2027</v>
      </c>
      <c r="J14" s="236">
        <f t="shared" si="0"/>
        <v>2028</v>
      </c>
      <c r="K14" s="236">
        <f t="shared" si="0"/>
        <v>2029</v>
      </c>
      <c r="L14" s="236">
        <f t="shared" si="0"/>
        <v>2030</v>
      </c>
      <c r="M14" s="236">
        <f t="shared" si="0"/>
        <v>2031</v>
      </c>
      <c r="N14" s="236" t="s">
        <v>336</v>
      </c>
      <c r="O14" s="236" t="s">
        <v>286</v>
      </c>
    </row>
    <row r="15" spans="2:27" x14ac:dyDescent="0.25">
      <c r="E15" s="457" t="s">
        <v>335</v>
      </c>
      <c r="F15" s="240"/>
      <c r="G15" s="241">
        <f t="shared" ref="G15:O15" si="1">G4/1000</f>
        <v>2609.473</v>
      </c>
      <c r="H15" s="241">
        <f t="shared" si="1"/>
        <v>2431.7579999999998</v>
      </c>
      <c r="I15" s="241">
        <f t="shared" si="1"/>
        <v>2327.1729999999998</v>
      </c>
      <c r="J15" s="241">
        <f t="shared" si="1"/>
        <v>2054.681</v>
      </c>
      <c r="K15" s="241">
        <f t="shared" si="1"/>
        <v>1999.546</v>
      </c>
      <c r="L15" s="241">
        <f t="shared" si="1"/>
        <v>1947.319</v>
      </c>
      <c r="M15" s="241">
        <f t="shared" si="1"/>
        <v>1880.6279999999999</v>
      </c>
      <c r="N15" s="241">
        <f t="shared" si="1"/>
        <v>16861.768</v>
      </c>
      <c r="O15" s="241">
        <f t="shared" si="1"/>
        <v>32112.346000000001</v>
      </c>
    </row>
    <row r="16" spans="2:27" ht="39" x14ac:dyDescent="0.25">
      <c r="E16" s="458" t="str">
        <f>C6</f>
        <v>Saistību apjoms % no plānotajiem pamatbudžeta ieņēmumiem</v>
      </c>
      <c r="F16" s="240"/>
      <c r="G16" s="243">
        <f t="shared" ref="G16:M16" si="2">G6/100</f>
        <v>9.74E-2</v>
      </c>
      <c r="H16" s="243">
        <f t="shared" si="2"/>
        <v>9.0800000000000006E-2</v>
      </c>
      <c r="I16" s="243">
        <f t="shared" si="2"/>
        <v>8.6899999999999991E-2</v>
      </c>
      <c r="J16" s="243">
        <f t="shared" si="2"/>
        <v>7.6700000000000004E-2</v>
      </c>
      <c r="K16" s="243">
        <f t="shared" si="2"/>
        <v>7.46E-2</v>
      </c>
      <c r="L16" s="243">
        <f t="shared" si="2"/>
        <v>7.2700000000000001E-2</v>
      </c>
      <c r="M16" s="243">
        <f t="shared" si="2"/>
        <v>7.0199999999999999E-2</v>
      </c>
      <c r="N16" s="244" t="s">
        <v>337</v>
      </c>
      <c r="O16" s="244" t="s">
        <v>337</v>
      </c>
    </row>
    <row r="17" spans="5:15" x14ac:dyDescent="0.25">
      <c r="E17" s="459"/>
      <c r="F17" s="240"/>
      <c r="G17" s="244"/>
      <c r="H17" s="244"/>
      <c r="I17" s="244"/>
      <c r="J17" s="244"/>
      <c r="K17" s="244"/>
      <c r="L17" s="244"/>
      <c r="M17" s="244"/>
      <c r="N17" s="244"/>
      <c r="O17" s="244"/>
    </row>
    <row r="18" spans="5:15" ht="26.25" x14ac:dyDescent="0.25">
      <c r="E18" s="460" t="s">
        <v>339</v>
      </c>
      <c r="F18" s="240"/>
      <c r="G18" s="245"/>
      <c r="H18" s="246"/>
      <c r="I18" s="246"/>
      <c r="J18" s="246"/>
      <c r="K18" s="246">
        <f>-NPV_Bāze_I!F29/1000</f>
        <v>796.80053873777774</v>
      </c>
      <c r="L18" s="246">
        <f>-NPV_Bāze_I!G29/1000</f>
        <v>796.80053873777774</v>
      </c>
      <c r="M18" s="246">
        <f>-NPV_Bāze_I!H29/1000</f>
        <v>796.80053873777774</v>
      </c>
      <c r="N18" s="244"/>
      <c r="O18" s="244"/>
    </row>
    <row r="19" spans="5:15" ht="26.25" x14ac:dyDescent="0.25">
      <c r="E19" s="457" t="s">
        <v>338</v>
      </c>
      <c r="F19" s="240"/>
      <c r="G19" s="241">
        <f>G15+G18</f>
        <v>2609.473</v>
      </c>
      <c r="H19" s="241">
        <f t="shared" ref="H19:M19" si="3">H15+H18</f>
        <v>2431.7579999999998</v>
      </c>
      <c r="I19" s="241">
        <f>I15+I18</f>
        <v>2327.1729999999998</v>
      </c>
      <c r="J19" s="241">
        <f t="shared" si="3"/>
        <v>2054.681</v>
      </c>
      <c r="K19" s="241">
        <f t="shared" si="3"/>
        <v>2796.3465387377778</v>
      </c>
      <c r="L19" s="241">
        <f t="shared" si="3"/>
        <v>2744.1195387377775</v>
      </c>
      <c r="M19" s="241">
        <f t="shared" si="3"/>
        <v>2677.4285387377777</v>
      </c>
      <c r="N19" s="244"/>
      <c r="O19" s="244"/>
    </row>
    <row r="20" spans="5:15" x14ac:dyDescent="0.25">
      <c r="E20" s="459"/>
      <c r="F20" s="240"/>
      <c r="G20" s="243">
        <f>G19/($O$8/1000)</f>
        <v>9.7388796294865645E-2</v>
      </c>
      <c r="H20" s="243">
        <f t="shared" ref="H20:M20" si="4">H19/($O$8/1000)</f>
        <v>9.075625020853248E-2</v>
      </c>
      <c r="I20" s="243">
        <f>I19/($O$8/1000)</f>
        <v>8.6853007193372522E-2</v>
      </c>
      <c r="J20" s="243">
        <f t="shared" si="4"/>
        <v>7.6683264919748487E-2</v>
      </c>
      <c r="K20" s="243">
        <f t="shared" si="4"/>
        <v>0.10436315050241413</v>
      </c>
      <c r="L20" s="243">
        <f t="shared" si="4"/>
        <v>0.10241397353676168</v>
      </c>
      <c r="M20" s="243">
        <f t="shared" si="4"/>
        <v>9.9924981999504586E-2</v>
      </c>
      <c r="N20" s="244"/>
      <c r="O20" s="244"/>
    </row>
    <row r="21" spans="5:15" x14ac:dyDescent="0.25">
      <c r="E21" s="461"/>
      <c r="F21" s="239"/>
      <c r="G21" s="238"/>
      <c r="H21" s="238"/>
      <c r="I21" s="247">
        <f>I20-I16</f>
        <v>-4.6992806627468853E-5</v>
      </c>
      <c r="J21" s="247">
        <f>J20-J16</f>
        <v>-1.6735080251517598E-5</v>
      </c>
      <c r="K21" s="247">
        <f t="shared" ref="K21:M21" si="5">K20-K16</f>
        <v>2.9763150502414126E-2</v>
      </c>
      <c r="L21" s="247">
        <f t="shared" si="5"/>
        <v>2.9713973536761681E-2</v>
      </c>
      <c r="M21" s="247">
        <f t="shared" si="5"/>
        <v>2.9724981999504588E-2</v>
      </c>
      <c r="N21" s="238"/>
      <c r="O21" s="238"/>
    </row>
    <row r="22" spans="5:15" x14ac:dyDescent="0.25">
      <c r="E22" s="462"/>
    </row>
    <row r="23" spans="5:15" x14ac:dyDescent="0.25">
      <c r="E23" s="456" t="s">
        <v>359</v>
      </c>
      <c r="F23" s="235"/>
      <c r="G23" s="236">
        <v>2025</v>
      </c>
      <c r="H23" s="236">
        <f>G23+1</f>
        <v>2026</v>
      </c>
      <c r="I23" s="236">
        <f t="shared" ref="I23:M23" si="6">H23+1</f>
        <v>2027</v>
      </c>
      <c r="J23" s="236">
        <f t="shared" si="6"/>
        <v>2028</v>
      </c>
      <c r="K23" s="236">
        <f t="shared" si="6"/>
        <v>2029</v>
      </c>
      <c r="L23" s="236">
        <f t="shared" si="6"/>
        <v>2030</v>
      </c>
      <c r="M23" s="236">
        <f t="shared" si="6"/>
        <v>2031</v>
      </c>
      <c r="N23" s="236" t="s">
        <v>336</v>
      </c>
      <c r="O23" s="236" t="s">
        <v>286</v>
      </c>
    </row>
    <row r="24" spans="5:15" x14ac:dyDescent="0.25">
      <c r="E24" s="457" t="s">
        <v>335</v>
      </c>
      <c r="F24" s="240"/>
      <c r="G24" s="241">
        <f>G15</f>
        <v>2609.473</v>
      </c>
      <c r="H24" s="241">
        <f t="shared" ref="H24:O24" si="7">H15</f>
        <v>2431.7579999999998</v>
      </c>
      <c r="I24" s="241">
        <f t="shared" si="7"/>
        <v>2327.1729999999998</v>
      </c>
      <c r="J24" s="241">
        <f t="shared" si="7"/>
        <v>2054.681</v>
      </c>
      <c r="K24" s="241">
        <f t="shared" si="7"/>
        <v>1999.546</v>
      </c>
      <c r="L24" s="241">
        <f t="shared" si="7"/>
        <v>1947.319</v>
      </c>
      <c r="M24" s="241">
        <f t="shared" si="7"/>
        <v>1880.6279999999999</v>
      </c>
      <c r="N24" s="241">
        <f t="shared" si="7"/>
        <v>16861.768</v>
      </c>
      <c r="O24" s="241">
        <f t="shared" si="7"/>
        <v>32112.346000000001</v>
      </c>
    </row>
    <row r="25" spans="5:15" ht="39" x14ac:dyDescent="0.25">
      <c r="E25" s="458" t="s">
        <v>332</v>
      </c>
      <c r="F25" s="240"/>
      <c r="G25" s="243">
        <f t="shared" ref="G25:M25" si="8">G6/100</f>
        <v>9.74E-2</v>
      </c>
      <c r="H25" s="243">
        <f t="shared" si="8"/>
        <v>9.0800000000000006E-2</v>
      </c>
      <c r="I25" s="243">
        <f t="shared" si="8"/>
        <v>8.6899999999999991E-2</v>
      </c>
      <c r="J25" s="243">
        <f t="shared" si="8"/>
        <v>7.6700000000000004E-2</v>
      </c>
      <c r="K25" s="243">
        <f t="shared" si="8"/>
        <v>7.46E-2</v>
      </c>
      <c r="L25" s="243">
        <f t="shared" si="8"/>
        <v>7.2700000000000001E-2</v>
      </c>
      <c r="M25" s="243">
        <f t="shared" si="8"/>
        <v>7.0199999999999999E-2</v>
      </c>
      <c r="N25" s="244" t="s">
        <v>337</v>
      </c>
      <c r="O25" s="244" t="s">
        <v>337</v>
      </c>
    </row>
    <row r="26" spans="5:15" x14ac:dyDescent="0.25">
      <c r="E26" s="459"/>
      <c r="F26" s="240"/>
      <c r="G26" s="244"/>
      <c r="H26" s="244"/>
      <c r="I26" s="244"/>
      <c r="J26" s="244"/>
      <c r="K26" s="244"/>
      <c r="L26" s="244"/>
      <c r="M26" s="244"/>
      <c r="N26" s="244"/>
      <c r="O26" s="244"/>
    </row>
    <row r="27" spans="5:15" ht="26.25" x14ac:dyDescent="0.25">
      <c r="E27" s="460" t="s">
        <v>339</v>
      </c>
      <c r="F27" s="240"/>
      <c r="G27" s="245"/>
      <c r="H27" s="246"/>
      <c r="I27" s="246"/>
      <c r="J27" s="246">
        <f>NPV_PPP_koncesija!E36/1000</f>
        <v>0</v>
      </c>
      <c r="K27" s="246">
        <f>NPV_PPP_koncesija!F36/1000</f>
        <v>272.41704455728848</v>
      </c>
      <c r="L27" s="246">
        <f>NPV_PPP_koncesija!G36/1000</f>
        <v>271.28450887491186</v>
      </c>
      <c r="M27" s="246">
        <f>NPV_PPP_koncesija!H36/1000</f>
        <v>270.21355993636399</v>
      </c>
      <c r="N27" s="244"/>
      <c r="O27" s="244"/>
    </row>
    <row r="28" spans="5:15" ht="26.25" x14ac:dyDescent="0.25">
      <c r="E28" s="457" t="s">
        <v>338</v>
      </c>
      <c r="F28" s="240"/>
      <c r="G28" s="241">
        <f>G24+G27</f>
        <v>2609.473</v>
      </c>
      <c r="H28" s="241">
        <f t="shared" ref="H28:M28" si="9">H24+H27</f>
        <v>2431.7579999999998</v>
      </c>
      <c r="I28" s="241">
        <f t="shared" si="9"/>
        <v>2327.1729999999998</v>
      </c>
      <c r="J28" s="241">
        <f t="shared" si="9"/>
        <v>2054.681</v>
      </c>
      <c r="K28" s="241">
        <f t="shared" si="9"/>
        <v>2271.9630445572884</v>
      </c>
      <c r="L28" s="241">
        <f t="shared" si="9"/>
        <v>2218.6035088749118</v>
      </c>
      <c r="M28" s="241">
        <f t="shared" si="9"/>
        <v>2150.8415599363639</v>
      </c>
      <c r="N28" s="244"/>
      <c r="O28" s="244"/>
    </row>
    <row r="29" spans="5:15" x14ac:dyDescent="0.25">
      <c r="E29" s="459"/>
      <c r="F29" s="240"/>
      <c r="G29" s="243">
        <f>G28/($O$8/1000)</f>
        <v>9.7388796294865645E-2</v>
      </c>
      <c r="H29" s="243">
        <f t="shared" ref="H29:M29" si="10">H28/($O$8/1000)</f>
        <v>9.075625020853248E-2</v>
      </c>
      <c r="I29" s="243">
        <f t="shared" si="10"/>
        <v>8.6853007193372522E-2</v>
      </c>
      <c r="J29" s="243">
        <f t="shared" si="10"/>
        <v>7.6683264919748487E-2</v>
      </c>
      <c r="K29" s="243">
        <f t="shared" si="10"/>
        <v>8.479250259951053E-2</v>
      </c>
      <c r="L29" s="243">
        <f t="shared" si="10"/>
        <v>8.2801057985613546E-2</v>
      </c>
      <c r="M29" s="243">
        <f t="shared" si="10"/>
        <v>8.027209729442443E-2</v>
      </c>
      <c r="N29" s="244"/>
      <c r="O29" s="244"/>
    </row>
    <row r="30" spans="5:15" x14ac:dyDescent="0.25">
      <c r="I30" s="248">
        <f>I29-I25</f>
        <v>-4.6992806627468853E-5</v>
      </c>
      <c r="J30" s="248">
        <f t="shared" ref="J30:M30" si="11">J29-J25</f>
        <v>-1.6735080251517598E-5</v>
      </c>
      <c r="K30" s="248">
        <f t="shared" si="11"/>
        <v>1.0192502599510531E-2</v>
      </c>
      <c r="L30" s="248">
        <f t="shared" si="11"/>
        <v>1.0101057985613546E-2</v>
      </c>
      <c r="M30" s="248">
        <f t="shared" si="11"/>
        <v>1.0072097294424431E-2</v>
      </c>
    </row>
  </sheetData>
  <mergeCells count="3">
    <mergeCell ref="C6:F6"/>
    <mergeCell ref="C8:F8"/>
    <mergeCell ref="C12:E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I52"/>
  <sheetViews>
    <sheetView topLeftCell="D27" workbookViewId="0">
      <selection activeCell="E6" sqref="E6"/>
    </sheetView>
  </sheetViews>
  <sheetFormatPr defaultColWidth="0" defaultRowHeight="12" zeroHeight="1" x14ac:dyDescent="0.2"/>
  <cols>
    <col min="1" max="1" width="8.85546875" style="1" customWidth="1"/>
    <col min="2" max="2" width="21.7109375" style="1" bestFit="1" customWidth="1"/>
    <col min="3" max="3" width="33.7109375" style="1" bestFit="1" customWidth="1"/>
    <col min="4" max="4" width="11" style="1" bestFit="1" customWidth="1"/>
    <col min="5" max="5" width="21.7109375" style="1" bestFit="1" customWidth="1"/>
    <col min="6" max="6" width="26.7109375" style="1" bestFit="1" customWidth="1"/>
    <col min="7" max="7" width="26.7109375" style="1" customWidth="1"/>
    <col min="8" max="8" width="21.7109375" style="1" customWidth="1"/>
    <col min="9" max="9" width="8.85546875" style="1" customWidth="1"/>
    <col min="10" max="16384" width="8.85546875" style="1" hidden="1"/>
  </cols>
  <sheetData>
    <row r="1" spans="2:9" x14ac:dyDescent="0.2"/>
    <row r="2" spans="2:9" ht="15" x14ac:dyDescent="0.25">
      <c r="B2" s="516" t="s">
        <v>136</v>
      </c>
      <c r="C2" s="516"/>
      <c r="D2" s="516"/>
      <c r="E2" s="516"/>
      <c r="F2" s="516"/>
      <c r="G2" s="516"/>
      <c r="H2" s="516"/>
    </row>
    <row r="3" spans="2:9" x14ac:dyDescent="0.2"/>
    <row r="4" spans="2:9" x14ac:dyDescent="0.2">
      <c r="B4" s="549"/>
      <c r="C4" s="549"/>
      <c r="D4" s="549"/>
      <c r="E4" s="549"/>
      <c r="F4" s="549"/>
      <c r="G4" s="549"/>
      <c r="H4" s="549"/>
    </row>
    <row r="5" spans="2:9" ht="60" x14ac:dyDescent="0.2">
      <c r="B5" s="108" t="s">
        <v>144</v>
      </c>
      <c r="C5" s="38" t="s">
        <v>341</v>
      </c>
      <c r="D5" s="38" t="s">
        <v>138</v>
      </c>
      <c r="E5" s="38" t="s">
        <v>342</v>
      </c>
      <c r="F5" s="38" t="s">
        <v>248</v>
      </c>
      <c r="G5" s="38" t="s">
        <v>249</v>
      </c>
      <c r="H5" s="39" t="s">
        <v>305</v>
      </c>
    </row>
    <row r="6" spans="2:9" x14ac:dyDescent="0.2">
      <c r="B6" s="37" t="s">
        <v>236</v>
      </c>
      <c r="C6" s="105">
        <f>-NPV_Bāze_I!AA62</f>
        <v>-32351196.439830698</v>
      </c>
      <c r="D6" s="105">
        <f>NPV_Bāze_I!E54</f>
        <v>0</v>
      </c>
      <c r="E6" s="105">
        <f>C6</f>
        <v>-32351196.439830698</v>
      </c>
      <c r="F6" s="105" t="s">
        <v>143</v>
      </c>
      <c r="G6" s="105" t="s">
        <v>143</v>
      </c>
      <c r="H6" s="189">
        <f>NPV_Bāze_I!AA61/1000000</f>
        <v>56.222236745558085</v>
      </c>
      <c r="I6" s="134"/>
    </row>
    <row r="7" spans="2:9" hidden="1" x14ac:dyDescent="0.2">
      <c r="B7" s="37" t="s">
        <v>237</v>
      </c>
      <c r="C7" s="105">
        <f>NPV_Bāze_II!E44</f>
        <v>0</v>
      </c>
      <c r="D7" s="105">
        <f>NPV_Bāze_II!E53</f>
        <v>0</v>
      </c>
      <c r="E7" s="105">
        <f>NPV_Bāze_II!E58</f>
        <v>0</v>
      </c>
      <c r="F7" s="105" t="s">
        <v>143</v>
      </c>
      <c r="G7" s="105" t="s">
        <v>143</v>
      </c>
      <c r="H7" s="189">
        <f>NPV_Bāze_II!Q60</f>
        <v>0</v>
      </c>
      <c r="I7" s="134"/>
    </row>
    <row r="8" spans="2:9" hidden="1" x14ac:dyDescent="0.2">
      <c r="B8" s="37" t="s">
        <v>140</v>
      </c>
      <c r="C8" s="105">
        <f>NPV_PPP_partnerība!E52</f>
        <v>0</v>
      </c>
      <c r="D8" s="105">
        <f>NPV_PPP_partnerība!E61</f>
        <v>0</v>
      </c>
      <c r="E8" s="105" t="str">
        <f>IF(NPV_PPP_partnerība!E66=0,"N/A",NPV_PPP_partnerība!E66)</f>
        <v>N/A</v>
      </c>
      <c r="F8" s="105" t="str">
        <f>IFERROR(E8-$E$6,"N/A")</f>
        <v>N/A</v>
      </c>
      <c r="G8" s="105" t="str">
        <f>IF(NPV_Bāze_II!$E$2="NEAIZPILDĪT","N/A",IFERROR(E8-$E$7,"N/A"))</f>
        <v>N/A</v>
      </c>
      <c r="H8" s="189">
        <f>NPV_PPP_partnerība!Q68</f>
        <v>0</v>
      </c>
      <c r="I8" s="134"/>
    </row>
    <row r="9" spans="2:9" x14ac:dyDescent="0.2">
      <c r="B9" s="37" t="s">
        <v>141</v>
      </c>
      <c r="C9" s="105">
        <f>NPV_PPP_koncesija!AA68</f>
        <v>-31246878.333038617</v>
      </c>
      <c r="D9" s="105">
        <f>NPV_PPP_koncesija!E65</f>
        <v>-197662.5860248078</v>
      </c>
      <c r="E9" s="105">
        <f>C9</f>
        <v>-31246878.333038617</v>
      </c>
      <c r="F9" s="105">
        <f>IFERROR(E9-$E$6,"N/A")</f>
        <v>1104318.1067920811</v>
      </c>
      <c r="G9" s="105" t="str">
        <f>IF(NPV_Bāze_II!$E$2="NEAIZPILDĪT", "N/A",IFERROR(E9-$E$7,"N/A"))</f>
        <v>N/A</v>
      </c>
      <c r="H9" s="189">
        <f>NPV_PPP_koncesija!AA72/1000000</f>
        <v>52.772456453968317</v>
      </c>
      <c r="I9" s="134"/>
    </row>
    <row r="10" spans="2:9" hidden="1" x14ac:dyDescent="0.2">
      <c r="B10" s="37" t="s">
        <v>142</v>
      </c>
      <c r="C10" s="105">
        <f>NPV_PPP_institucionālā!E103</f>
        <v>0</v>
      </c>
      <c r="D10" s="105">
        <f>NPV_PPP_institucionālā!E112</f>
        <v>0</v>
      </c>
      <c r="E10" s="105" t="str">
        <f>IF(NPV_PPP_institucionālā!E117=0,"N/A",NPV_PPP_institucionālā!E117)</f>
        <v>N/A</v>
      </c>
      <c r="F10" s="105" t="str">
        <f t="shared" ref="F10" si="0">IFERROR(E10-$E$6,"N/A")</f>
        <v>N/A</v>
      </c>
      <c r="G10" s="105" t="str">
        <f>IF(NPV_Bāze_II!$E$2="NEAIZPILDĪT", "N/A",IFERROR(E10-$E$7,"N/A"))</f>
        <v>N/A</v>
      </c>
      <c r="H10" s="106">
        <f>NPV_PPP_institucionālā!Q119</f>
        <v>0</v>
      </c>
    </row>
    <row r="11" spans="2:9" x14ac:dyDescent="0.2"/>
    <row r="12" spans="2:9" x14ac:dyDescent="0.2"/>
    <row r="13" spans="2:9" x14ac:dyDescent="0.2"/>
    <row r="14" spans="2:9" ht="15" x14ac:dyDescent="0.25">
      <c r="B14" s="141"/>
      <c r="C14" s="141"/>
      <c r="E14" s="141"/>
      <c r="F14" s="141"/>
      <c r="G14" s="141"/>
    </row>
    <row r="15" spans="2:9" x14ac:dyDescent="0.2"/>
    <row r="16" spans="2:9" ht="15" x14ac:dyDescent="0.25">
      <c r="B16" s="141"/>
      <c r="C16" s="141"/>
      <c r="D16" s="141"/>
      <c r="E16" s="141"/>
      <c r="F16" s="141"/>
      <c r="G16" s="141"/>
      <c r="H16" s="141"/>
    </row>
    <row r="17" spans="2:8" ht="15" x14ac:dyDescent="0.25">
      <c r="B17" s="141"/>
      <c r="C17" s="141"/>
      <c r="D17" s="141"/>
      <c r="E17" s="141"/>
      <c r="F17" s="141"/>
      <c r="G17" s="141"/>
      <c r="H17" s="141"/>
    </row>
    <row r="18" spans="2:8" ht="15" x14ac:dyDescent="0.25">
      <c r="B18" s="141"/>
      <c r="C18" s="141"/>
      <c r="D18" s="141"/>
      <c r="E18" s="141"/>
      <c r="F18" s="141"/>
      <c r="G18" s="141"/>
      <c r="H18" s="141"/>
    </row>
    <row r="19" spans="2:8" ht="15" x14ac:dyDescent="0.25">
      <c r="B19" s="141"/>
      <c r="C19" s="141"/>
      <c r="D19" s="141"/>
      <c r="E19" s="141"/>
      <c r="F19" s="141"/>
      <c r="G19" s="141"/>
      <c r="H19" s="141"/>
    </row>
    <row r="20" spans="2:8" ht="15" x14ac:dyDescent="0.25">
      <c r="B20" s="141"/>
      <c r="C20" s="141"/>
      <c r="D20" s="141"/>
      <c r="E20" s="141"/>
      <c r="F20" s="141"/>
      <c r="G20" s="141"/>
      <c r="H20" s="141"/>
    </row>
    <row r="21" spans="2:8" ht="15" x14ac:dyDescent="0.25">
      <c r="B21" s="141"/>
      <c r="C21" s="141"/>
      <c r="D21" s="141"/>
      <c r="E21" s="141"/>
      <c r="F21" s="141"/>
      <c r="G21" s="141"/>
      <c r="H21" s="141"/>
    </row>
    <row r="22" spans="2:8" ht="15" x14ac:dyDescent="0.25">
      <c r="B22" s="141"/>
      <c r="C22" s="141"/>
      <c r="D22" s="141"/>
      <c r="E22" s="141"/>
      <c r="F22" s="141"/>
      <c r="G22" s="141"/>
      <c r="H22" s="141"/>
    </row>
    <row r="23" spans="2:8" ht="15" x14ac:dyDescent="0.25">
      <c r="B23" s="141"/>
      <c r="C23" s="141"/>
      <c r="D23" s="141"/>
      <c r="E23" s="141"/>
      <c r="F23" s="141"/>
      <c r="G23" s="141"/>
      <c r="H23" s="141"/>
    </row>
    <row r="24" spans="2:8" ht="15" x14ac:dyDescent="0.25">
      <c r="B24" s="141"/>
      <c r="C24" s="141"/>
      <c r="D24" s="141"/>
      <c r="E24" s="141"/>
      <c r="F24" s="141"/>
      <c r="G24" s="141"/>
      <c r="H24" s="141"/>
    </row>
    <row r="25" spans="2:8" ht="15" x14ac:dyDescent="0.25">
      <c r="B25" s="141"/>
      <c r="C25" s="141"/>
      <c r="D25" s="141"/>
      <c r="E25" s="141"/>
      <c r="F25" s="141"/>
      <c r="G25" s="141"/>
      <c r="H25" s="141"/>
    </row>
    <row r="26" spans="2:8" ht="15" x14ac:dyDescent="0.25">
      <c r="B26" s="141"/>
      <c r="C26" s="141"/>
      <c r="D26" s="141"/>
      <c r="E26" s="141"/>
      <c r="F26" s="141"/>
      <c r="G26" s="141"/>
      <c r="H26" s="141"/>
    </row>
    <row r="27" spans="2:8" ht="15" x14ac:dyDescent="0.25">
      <c r="B27" s="141"/>
      <c r="C27" s="141"/>
      <c r="D27" s="141"/>
      <c r="E27" s="141"/>
      <c r="F27" s="141"/>
      <c r="G27" s="141"/>
      <c r="H27" s="141"/>
    </row>
    <row r="28" spans="2:8" ht="15" x14ac:dyDescent="0.25">
      <c r="B28" s="141"/>
      <c r="C28" s="141"/>
      <c r="D28" s="141"/>
      <c r="E28" s="141"/>
      <c r="F28" s="141"/>
      <c r="G28" s="141" t="str">
        <f>B6</f>
        <v>Bāzes modelis I</v>
      </c>
      <c r="H28" s="141" t="str">
        <f>B9</f>
        <v>Koncesijas modelis</v>
      </c>
    </row>
    <row r="29" spans="2:8" ht="15" x14ac:dyDescent="0.25">
      <c r="B29" s="141"/>
      <c r="C29" s="141"/>
      <c r="D29" s="141"/>
      <c r="E29" s="141"/>
      <c r="F29" s="1" t="s">
        <v>303</v>
      </c>
      <c r="G29" s="188">
        <f>-E6/1000000</f>
        <v>32.351196439830701</v>
      </c>
      <c r="H29" s="188"/>
    </row>
    <row r="30" spans="2:8" ht="15" x14ac:dyDescent="0.25">
      <c r="B30" s="141"/>
      <c r="C30" s="141"/>
      <c r="D30" s="141"/>
      <c r="E30" s="141"/>
      <c r="F30" s="1" t="s">
        <v>304</v>
      </c>
      <c r="G30" s="188"/>
      <c r="H30" s="188">
        <f>-E9/1000000</f>
        <v>31.246878333038616</v>
      </c>
    </row>
    <row r="31" spans="2:8" ht="15" x14ac:dyDescent="0.25">
      <c r="B31" s="141"/>
      <c r="C31" s="141"/>
      <c r="D31" s="141"/>
      <c r="E31" s="141"/>
      <c r="F31" s="141" t="s">
        <v>302</v>
      </c>
      <c r="G31" s="188"/>
      <c r="H31" s="188">
        <f>G29-H30</f>
        <v>1.1043181067920855</v>
      </c>
    </row>
    <row r="32" spans="2:8" ht="15" x14ac:dyDescent="0.25">
      <c r="B32" s="141"/>
      <c r="C32" s="141"/>
      <c r="D32" s="141"/>
      <c r="E32" s="141"/>
      <c r="F32" s="141"/>
      <c r="G32" s="141"/>
      <c r="H32" s="141"/>
    </row>
    <row r="33" spans="2:8" ht="15" x14ac:dyDescent="0.25">
      <c r="B33" s="141"/>
      <c r="C33" s="141"/>
      <c r="D33" s="141"/>
      <c r="E33" s="141"/>
      <c r="F33" s="141"/>
      <c r="G33" s="141"/>
      <c r="H33" s="141"/>
    </row>
    <row r="34" spans="2:8" ht="15" x14ac:dyDescent="0.25">
      <c r="F34" s="141"/>
      <c r="G34" s="141"/>
      <c r="H34" s="141"/>
    </row>
    <row r="35" spans="2:8" ht="15" x14ac:dyDescent="0.25">
      <c r="G35" s="188"/>
      <c r="H35" s="188"/>
    </row>
    <row r="36" spans="2:8" ht="15" x14ac:dyDescent="0.25">
      <c r="H36" s="188"/>
    </row>
    <row r="37" spans="2:8" ht="15" x14ac:dyDescent="0.25">
      <c r="F37" s="141"/>
      <c r="G37" s="188"/>
      <c r="H37" s="188"/>
    </row>
    <row r="38" spans="2:8" x14ac:dyDescent="0.2"/>
    <row r="39" spans="2:8" x14ac:dyDescent="0.2"/>
    <row r="40" spans="2:8" x14ac:dyDescent="0.2"/>
    <row r="41" spans="2:8" x14ac:dyDescent="0.2"/>
    <row r="42" spans="2:8" x14ac:dyDescent="0.2"/>
    <row r="43" spans="2:8" x14ac:dyDescent="0.2"/>
    <row r="44" spans="2:8" x14ac:dyDescent="0.2"/>
    <row r="45" spans="2:8" x14ac:dyDescent="0.2"/>
    <row r="46" spans="2:8" x14ac:dyDescent="0.2"/>
    <row r="47" spans="2:8" x14ac:dyDescent="0.2"/>
    <row r="48" spans="2:8" x14ac:dyDescent="0.2"/>
    <row r="49" x14ac:dyDescent="0.2"/>
    <row r="50" x14ac:dyDescent="0.2"/>
    <row r="51" x14ac:dyDescent="0.2"/>
    <row r="52" x14ac:dyDescent="0.2"/>
  </sheetData>
  <mergeCells count="2">
    <mergeCell ref="B2:H2"/>
    <mergeCell ref="B4:H4"/>
  </mergeCells>
  <pageMargins left="0.7" right="0.7" top="0.75" bottom="0.75" header="0.3" footer="0.3"/>
  <pageSetup paperSize="9" scale="8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Z55"/>
  <sheetViews>
    <sheetView topLeftCell="A2" zoomScaleNormal="100" zoomScaleSheetLayoutView="100" workbookViewId="0">
      <pane xSplit="1" ySplit="3" topLeftCell="B5" activePane="bottomRight" state="frozen"/>
      <selection activeCell="A2" sqref="A2"/>
      <selection pane="topRight" activeCell="B2" sqref="B2"/>
      <selection pane="bottomLeft" activeCell="A5" sqref="A5"/>
      <selection pane="bottomRight" activeCell="E46" sqref="E46"/>
    </sheetView>
  </sheetViews>
  <sheetFormatPr defaultColWidth="0" defaultRowHeight="15" zeroHeight="1" outlineLevelRow="1" outlineLevelCol="1" x14ac:dyDescent="0.25"/>
  <cols>
    <col min="1" max="1" width="4.140625" style="15" customWidth="1"/>
    <col min="2" max="2" width="7.28515625" style="15" customWidth="1"/>
    <col min="3" max="3" width="20.42578125" style="15" customWidth="1"/>
    <col min="4" max="4" width="44.42578125" style="15" customWidth="1"/>
    <col min="5" max="9" width="13.28515625" style="15" customWidth="1"/>
    <col min="10" max="10" width="8.85546875" style="15" customWidth="1"/>
    <col min="11" max="11" width="8.85546875" style="126" hidden="1" customWidth="1" outlineLevel="1"/>
    <col min="12" max="12" width="16.7109375" style="126" hidden="1" customWidth="1" outlineLevel="1"/>
    <col min="13" max="13" width="8.85546875" style="15" hidden="1" customWidth="1" collapsed="1"/>
    <col min="14" max="16384" width="8.85546875" style="15" hidden="1"/>
  </cols>
  <sheetData>
    <row r="1" spans="1:13" x14ac:dyDescent="0.25">
      <c r="A1" s="14"/>
      <c r="B1" s="14"/>
      <c r="C1" s="14"/>
      <c r="D1" s="14"/>
      <c r="E1" s="14"/>
      <c r="F1" s="14"/>
      <c r="G1" s="14"/>
      <c r="H1" s="14"/>
      <c r="I1" s="14"/>
      <c r="J1" s="14"/>
    </row>
    <row r="2" spans="1:13" ht="48.6" customHeight="1" x14ac:dyDescent="0.25">
      <c r="A2" s="14"/>
      <c r="B2" s="557" t="s">
        <v>252</v>
      </c>
      <c r="C2" s="557"/>
      <c r="D2" s="557"/>
      <c r="E2" s="557"/>
      <c r="F2" s="557"/>
      <c r="G2" s="557"/>
      <c r="H2" s="557"/>
      <c r="I2" s="557"/>
      <c r="J2" s="14"/>
    </row>
    <row r="3" spans="1:13" x14ac:dyDescent="0.25">
      <c r="A3" s="14"/>
      <c r="B3" s="14"/>
      <c r="C3" s="14"/>
      <c r="D3" s="14"/>
      <c r="E3" s="14"/>
      <c r="F3" s="14"/>
      <c r="G3" s="14"/>
      <c r="H3" s="14"/>
      <c r="I3" s="14"/>
      <c r="J3" s="14"/>
    </row>
    <row r="4" spans="1:13" ht="36" x14ac:dyDescent="0.25">
      <c r="A4" s="14"/>
      <c r="B4" s="16" t="s">
        <v>11</v>
      </c>
      <c r="C4" s="16" t="s">
        <v>12</v>
      </c>
      <c r="D4" s="16" t="s">
        <v>13</v>
      </c>
      <c r="E4" s="17" t="s">
        <v>91</v>
      </c>
      <c r="F4" s="18" t="s">
        <v>14</v>
      </c>
      <c r="G4" s="18" t="s">
        <v>15</v>
      </c>
      <c r="H4" s="18" t="s">
        <v>16</v>
      </c>
      <c r="I4" s="18" t="s">
        <v>17</v>
      </c>
      <c r="J4" s="14"/>
    </row>
    <row r="5" spans="1:13" ht="24" x14ac:dyDescent="0.25">
      <c r="A5" s="14"/>
      <c r="B5" s="562" t="s">
        <v>253</v>
      </c>
      <c r="C5" s="562"/>
      <c r="D5" s="165" t="s">
        <v>254</v>
      </c>
      <c r="E5" s="12" t="s">
        <v>1</v>
      </c>
      <c r="F5" s="166"/>
      <c r="G5" s="166"/>
      <c r="H5" s="166"/>
      <c r="I5" s="166"/>
      <c r="J5" s="14"/>
    </row>
    <row r="6" spans="1:13" x14ac:dyDescent="0.25">
      <c r="A6" s="14"/>
      <c r="B6" s="550" t="s">
        <v>18</v>
      </c>
      <c r="C6" s="551"/>
      <c r="D6" s="551"/>
      <c r="E6" s="551"/>
      <c r="F6" s="551"/>
      <c r="G6" s="551"/>
      <c r="H6" s="551"/>
      <c r="I6" s="552"/>
      <c r="J6" s="14"/>
      <c r="K6" s="26" t="s">
        <v>1</v>
      </c>
      <c r="L6" s="26" t="s">
        <v>78</v>
      </c>
    </row>
    <row r="7" spans="1:13" ht="60" x14ac:dyDescent="0.25">
      <c r="A7" s="14"/>
      <c r="B7" s="553" t="s">
        <v>19</v>
      </c>
      <c r="C7" s="555" t="s">
        <v>20</v>
      </c>
      <c r="D7" s="19" t="s">
        <v>77</v>
      </c>
      <c r="E7" s="12" t="s">
        <v>1</v>
      </c>
      <c r="F7" s="11" t="str">
        <f>IF(E7="Nē", "+", "")</f>
        <v/>
      </c>
      <c r="G7" s="11"/>
      <c r="H7" s="11"/>
      <c r="I7" s="11"/>
      <c r="J7" s="14"/>
      <c r="K7" s="28" t="s">
        <v>2</v>
      </c>
      <c r="L7" s="28" t="s">
        <v>79</v>
      </c>
      <c r="M7" s="27"/>
    </row>
    <row r="8" spans="1:13" ht="36" x14ac:dyDescent="0.25">
      <c r="A8" s="14"/>
      <c r="B8" s="554"/>
      <c r="C8" s="556"/>
      <c r="D8" s="19" t="s">
        <v>250</v>
      </c>
      <c r="E8" s="12" t="s">
        <v>1</v>
      </c>
      <c r="F8" s="11" t="str">
        <f>IF(E8="Nē", "+", "")</f>
        <v/>
      </c>
      <c r="G8" s="11"/>
      <c r="H8" s="11"/>
      <c r="I8" s="11"/>
      <c r="J8" s="14"/>
      <c r="K8" s="28" t="s">
        <v>101</v>
      </c>
      <c r="L8" s="28" t="s">
        <v>80</v>
      </c>
      <c r="M8" s="27"/>
    </row>
    <row r="9" spans="1:13" ht="60" x14ac:dyDescent="0.25">
      <c r="A9" s="14"/>
      <c r="B9" s="553" t="s">
        <v>21</v>
      </c>
      <c r="C9" s="560" t="s">
        <v>22</v>
      </c>
      <c r="D9" s="19" t="s">
        <v>96</v>
      </c>
      <c r="E9" s="12" t="s">
        <v>1</v>
      </c>
      <c r="F9" s="11"/>
      <c r="G9" s="11"/>
      <c r="H9" s="11"/>
      <c r="I9" s="11"/>
      <c r="J9" s="14"/>
      <c r="K9" s="29"/>
      <c r="L9" s="28" t="s">
        <v>81</v>
      </c>
      <c r="M9" s="27"/>
    </row>
    <row r="10" spans="1:13" ht="48" x14ac:dyDescent="0.25">
      <c r="A10" s="14"/>
      <c r="B10" s="554"/>
      <c r="C10" s="561"/>
      <c r="D10" s="19" t="s">
        <v>23</v>
      </c>
      <c r="E10" s="12" t="s">
        <v>2</v>
      </c>
      <c r="F10" s="11" t="str">
        <f>IF(E10="Jā", "+", "")</f>
        <v/>
      </c>
      <c r="G10" s="11"/>
      <c r="H10" s="11"/>
      <c r="I10" s="11"/>
      <c r="J10" s="14"/>
      <c r="K10" s="29"/>
      <c r="L10" s="28" t="s">
        <v>82</v>
      </c>
      <c r="M10" s="27"/>
    </row>
    <row r="11" spans="1:13" ht="60" x14ac:dyDescent="0.25">
      <c r="A11" s="14"/>
      <c r="B11" s="21" t="s">
        <v>24</v>
      </c>
      <c r="C11" s="22" t="s">
        <v>25</v>
      </c>
      <c r="D11" s="19" t="s">
        <v>26</v>
      </c>
      <c r="E11" s="12" t="s">
        <v>2</v>
      </c>
      <c r="F11" s="11" t="str">
        <f>IF(E11="Jā", "+", "")</f>
        <v/>
      </c>
      <c r="G11" s="11"/>
      <c r="H11" s="11"/>
      <c r="I11" s="11"/>
      <c r="J11" s="14"/>
      <c r="K11" s="127"/>
      <c r="L11" s="127"/>
      <c r="M11" s="27"/>
    </row>
    <row r="12" spans="1:13" x14ac:dyDescent="0.25">
      <c r="A12" s="14"/>
      <c r="B12" s="550" t="s">
        <v>27</v>
      </c>
      <c r="C12" s="551"/>
      <c r="D12" s="551"/>
      <c r="E12" s="551"/>
      <c r="F12" s="551"/>
      <c r="G12" s="551"/>
      <c r="H12" s="551"/>
      <c r="I12" s="552"/>
      <c r="J12" s="14"/>
    </row>
    <row r="13" spans="1:13" ht="48" x14ac:dyDescent="0.25">
      <c r="A13" s="14"/>
      <c r="B13" s="21" t="s">
        <v>28</v>
      </c>
      <c r="C13" s="22" t="s">
        <v>29</v>
      </c>
      <c r="D13" s="19" t="s">
        <v>83</v>
      </c>
      <c r="E13" s="12" t="s">
        <v>1</v>
      </c>
      <c r="F13" s="11" t="str">
        <f>IF(E13="Nē", "+", "")</f>
        <v/>
      </c>
      <c r="G13" s="11"/>
      <c r="H13" s="11"/>
      <c r="I13" s="11"/>
      <c r="J13" s="14"/>
    </row>
    <row r="14" spans="1:13" ht="24" x14ac:dyDescent="0.25">
      <c r="A14" s="14"/>
      <c r="B14" s="21" t="s">
        <v>30</v>
      </c>
      <c r="C14" s="22" t="s">
        <v>31</v>
      </c>
      <c r="D14" s="19" t="s">
        <v>32</v>
      </c>
      <c r="E14" s="12" t="s">
        <v>1</v>
      </c>
      <c r="F14" s="11" t="str">
        <f>IF(E14="Nē", "+", "")</f>
        <v/>
      </c>
      <c r="G14" s="11"/>
      <c r="H14" s="11"/>
      <c r="I14" s="11"/>
      <c r="J14" s="14"/>
    </row>
    <row r="15" spans="1:13" ht="36" x14ac:dyDescent="0.25">
      <c r="A15" s="14"/>
      <c r="B15" s="21" t="s">
        <v>33</v>
      </c>
      <c r="C15" s="22" t="s">
        <v>34</v>
      </c>
      <c r="D15" s="19" t="s">
        <v>35</v>
      </c>
      <c r="E15" s="12" t="s">
        <v>1</v>
      </c>
      <c r="F15" s="11" t="str">
        <f>IF(E15="Nē", "+", "")</f>
        <v/>
      </c>
      <c r="G15" s="11"/>
      <c r="H15" s="11"/>
      <c r="I15" s="11"/>
      <c r="J15" s="14"/>
    </row>
    <row r="16" spans="1:13" ht="36" x14ac:dyDescent="0.25">
      <c r="A16" s="14"/>
      <c r="B16" s="21">
        <v>2.4</v>
      </c>
      <c r="C16" s="22" t="s">
        <v>36</v>
      </c>
      <c r="D16" s="19" t="s">
        <v>37</v>
      </c>
      <c r="E16" s="12" t="s">
        <v>2</v>
      </c>
      <c r="F16" s="11" t="str">
        <f>IF(E16="Jā", "+", "")</f>
        <v/>
      </c>
      <c r="G16" s="11"/>
      <c r="H16" s="11"/>
      <c r="I16" s="11"/>
      <c r="J16" s="14"/>
    </row>
    <row r="17" spans="1:26" ht="48" x14ac:dyDescent="0.25">
      <c r="A17" s="14"/>
      <c r="B17" s="553" t="s">
        <v>38</v>
      </c>
      <c r="C17" s="555" t="s">
        <v>39</v>
      </c>
      <c r="D17" s="19" t="s">
        <v>40</v>
      </c>
      <c r="E17" s="12" t="s">
        <v>1</v>
      </c>
      <c r="F17" s="11"/>
      <c r="G17" s="11"/>
      <c r="H17" s="11"/>
      <c r="I17" s="11"/>
      <c r="J17" s="14"/>
    </row>
    <row r="18" spans="1:26" ht="24" x14ac:dyDescent="0.25">
      <c r="A18" s="14"/>
      <c r="B18" s="558"/>
      <c r="C18" s="559"/>
      <c r="D18" s="19" t="s">
        <v>97</v>
      </c>
      <c r="E18" s="12" t="s">
        <v>2</v>
      </c>
      <c r="F18" s="11" t="str">
        <f>IF(E18="Jā", "+", "")</f>
        <v/>
      </c>
      <c r="G18" s="11"/>
      <c r="H18" s="11"/>
      <c r="I18" s="11"/>
      <c r="J18" s="14"/>
    </row>
    <row r="19" spans="1:26" ht="36" x14ac:dyDescent="0.25">
      <c r="A19" s="14"/>
      <c r="B19" s="554"/>
      <c r="C19" s="556"/>
      <c r="D19" s="19" t="s">
        <v>84</v>
      </c>
      <c r="E19" s="12" t="s">
        <v>2</v>
      </c>
      <c r="F19" s="11" t="str">
        <f>IF(E19="Jā", "+", "")</f>
        <v/>
      </c>
      <c r="G19" s="11"/>
      <c r="H19" s="11"/>
      <c r="I19" s="11"/>
      <c r="J19" s="14"/>
    </row>
    <row r="20" spans="1:26" ht="24" x14ac:dyDescent="0.25">
      <c r="A20" s="14"/>
      <c r="B20" s="21" t="s">
        <v>41</v>
      </c>
      <c r="C20" s="22" t="s">
        <v>42</v>
      </c>
      <c r="D20" s="19" t="s">
        <v>43</v>
      </c>
      <c r="E20" s="12" t="s">
        <v>2</v>
      </c>
      <c r="F20" s="11" t="str">
        <f>IF(E20="Jā", "+", "")</f>
        <v/>
      </c>
      <c r="G20" s="11"/>
      <c r="H20" s="11"/>
      <c r="I20" s="11"/>
      <c r="J20" s="14"/>
    </row>
    <row r="21" spans="1:26" x14ac:dyDescent="0.25">
      <c r="A21" s="14"/>
      <c r="B21" s="550" t="s">
        <v>44</v>
      </c>
      <c r="C21" s="551"/>
      <c r="D21" s="551"/>
      <c r="E21" s="551"/>
      <c r="F21" s="551"/>
      <c r="G21" s="551"/>
      <c r="H21" s="551"/>
      <c r="I21" s="552"/>
      <c r="J21" s="14"/>
    </row>
    <row r="22" spans="1:26" ht="48" x14ac:dyDescent="0.25">
      <c r="A22" s="14"/>
      <c r="B22" s="21" t="s">
        <v>45</v>
      </c>
      <c r="C22" s="22" t="s">
        <v>46</v>
      </c>
      <c r="D22" s="19" t="s">
        <v>85</v>
      </c>
      <c r="E22" s="12" t="s">
        <v>101</v>
      </c>
      <c r="F22" s="11" t="str">
        <f>IF(E22="Jā", "+", "")</f>
        <v/>
      </c>
      <c r="G22" s="11"/>
      <c r="H22" s="11"/>
      <c r="I22" s="11"/>
      <c r="J22" s="14"/>
    </row>
    <row r="23" spans="1:26" ht="72" x14ac:dyDescent="0.25">
      <c r="A23" s="14"/>
      <c r="B23" s="553" t="s">
        <v>47</v>
      </c>
      <c r="C23" s="555" t="s">
        <v>100</v>
      </c>
      <c r="D23" s="19" t="s">
        <v>86</v>
      </c>
      <c r="E23" s="12" t="s">
        <v>1</v>
      </c>
      <c r="F23" s="11"/>
      <c r="G23" s="11"/>
      <c r="H23" s="11"/>
      <c r="I23" s="11"/>
      <c r="J23" s="14"/>
    </row>
    <row r="24" spans="1:26" ht="36" x14ac:dyDescent="0.25">
      <c r="A24" s="14"/>
      <c r="B24" s="554"/>
      <c r="C24" s="556"/>
      <c r="D24" s="19" t="s">
        <v>87</v>
      </c>
      <c r="E24" s="12" t="s">
        <v>1</v>
      </c>
      <c r="F24" s="11" t="str">
        <f>IF(E24="Nē", "+", "")</f>
        <v/>
      </c>
      <c r="G24" s="11"/>
      <c r="H24" s="11"/>
      <c r="I24" s="11"/>
      <c r="J24" s="14"/>
    </row>
    <row r="25" spans="1:26" ht="48" x14ac:dyDescent="0.25">
      <c r="A25" s="14"/>
      <c r="B25" s="553" t="s">
        <v>48</v>
      </c>
      <c r="C25" s="555" t="s">
        <v>49</v>
      </c>
      <c r="D25" s="19" t="s">
        <v>88</v>
      </c>
      <c r="E25" s="12" t="s">
        <v>2</v>
      </c>
      <c r="F25" s="11"/>
      <c r="G25" s="11"/>
      <c r="H25" s="11" t="str">
        <f>IF(E25="Jā", "+", "")</f>
        <v/>
      </c>
      <c r="I25" s="11"/>
      <c r="J25" s="14"/>
    </row>
    <row r="26" spans="1:26" ht="48" x14ac:dyDescent="0.25">
      <c r="A26" s="14"/>
      <c r="B26" s="554"/>
      <c r="C26" s="556"/>
      <c r="D26" s="19" t="s">
        <v>89</v>
      </c>
      <c r="E26" s="12" t="s">
        <v>2</v>
      </c>
      <c r="F26" s="11"/>
      <c r="G26" s="11"/>
      <c r="H26" s="11"/>
      <c r="I26" s="11" t="str">
        <f>IF(E26="Jā", "+", "")</f>
        <v/>
      </c>
      <c r="J26" s="14"/>
    </row>
    <row r="27" spans="1:26" x14ac:dyDescent="0.25">
      <c r="A27" s="14"/>
      <c r="B27" s="550" t="s">
        <v>50</v>
      </c>
      <c r="C27" s="551"/>
      <c r="D27" s="551"/>
      <c r="E27" s="551"/>
      <c r="F27" s="551"/>
      <c r="G27" s="551"/>
      <c r="H27" s="551"/>
      <c r="I27" s="552"/>
      <c r="J27" s="14"/>
    </row>
    <row r="28" spans="1:26" ht="192" x14ac:dyDescent="0.25">
      <c r="A28" s="14"/>
      <c r="B28" s="21" t="s">
        <v>51</v>
      </c>
      <c r="C28" s="22" t="s">
        <v>52</v>
      </c>
      <c r="D28" s="19" t="s">
        <v>251</v>
      </c>
      <c r="E28" s="13" t="s">
        <v>80</v>
      </c>
      <c r="F28" s="11"/>
      <c r="G28" s="11"/>
      <c r="H28" s="11"/>
      <c r="I28" s="11" t="str">
        <f>IF(F28="Jā", "+", "")</f>
        <v/>
      </c>
      <c r="J28" s="14"/>
    </row>
    <row r="29" spans="1:26" ht="48" x14ac:dyDescent="0.25">
      <c r="A29" s="14"/>
      <c r="B29" s="21" t="s">
        <v>53</v>
      </c>
      <c r="C29" s="23"/>
      <c r="D29" s="19" t="s">
        <v>54</v>
      </c>
      <c r="E29" s="12" t="s">
        <v>1</v>
      </c>
      <c r="F29" s="11" t="str">
        <f>IF(E29="Nē", "+", "")</f>
        <v/>
      </c>
      <c r="G29" s="11"/>
      <c r="H29" s="11"/>
      <c r="I29" s="11" t="str">
        <f>IF(F29="Jā", "+", "")</f>
        <v/>
      </c>
      <c r="J29" s="14"/>
    </row>
    <row r="30" spans="1:26" ht="48" x14ac:dyDescent="0.25">
      <c r="A30" s="14"/>
      <c r="B30" s="21" t="s">
        <v>255</v>
      </c>
      <c r="C30" s="167" t="s">
        <v>256</v>
      </c>
      <c r="D30" s="19" t="s">
        <v>257</v>
      </c>
      <c r="E30" s="12" t="s">
        <v>1</v>
      </c>
      <c r="F30" s="11"/>
      <c r="G30" s="11"/>
      <c r="H30" s="11" t="str">
        <f>IF(E30="Nē", "+", "")</f>
        <v/>
      </c>
      <c r="I30" s="11"/>
      <c r="J30" s="14"/>
    </row>
    <row r="31" spans="1:26" x14ac:dyDescent="0.25">
      <c r="A31" s="14"/>
      <c r="B31" s="550" t="s">
        <v>55</v>
      </c>
      <c r="C31" s="551"/>
      <c r="D31" s="551"/>
      <c r="E31" s="551"/>
      <c r="F31" s="551"/>
      <c r="G31" s="551"/>
      <c r="H31" s="551"/>
      <c r="I31" s="552"/>
      <c r="J31" s="14"/>
    </row>
    <row r="32" spans="1:26" ht="48" x14ac:dyDescent="0.25">
      <c r="A32" s="14"/>
      <c r="B32" s="553" t="s">
        <v>56</v>
      </c>
      <c r="C32" s="555" t="s">
        <v>57</v>
      </c>
      <c r="D32" s="19" t="s">
        <v>92</v>
      </c>
      <c r="E32" s="12" t="s">
        <v>2</v>
      </c>
      <c r="F32" s="11"/>
      <c r="G32" s="11"/>
      <c r="H32" s="11"/>
      <c r="I32" s="11"/>
      <c r="J32" s="14"/>
      <c r="Z32" s="24"/>
    </row>
    <row r="33" spans="1:10" ht="36" x14ac:dyDescent="0.25">
      <c r="A33" s="14"/>
      <c r="B33" s="558"/>
      <c r="C33" s="559"/>
      <c r="D33" s="19" t="s">
        <v>58</v>
      </c>
      <c r="E33" s="12" t="s">
        <v>2</v>
      </c>
      <c r="F33" s="11" t="str">
        <f>IF(E33="Jā", "+", "")</f>
        <v/>
      </c>
      <c r="G33" s="11"/>
      <c r="H33" s="11"/>
      <c r="I33" s="11"/>
      <c r="J33" s="14"/>
    </row>
    <row r="34" spans="1:10" ht="36" x14ac:dyDescent="0.25">
      <c r="A34" s="14"/>
      <c r="B34" s="558"/>
      <c r="C34" s="559"/>
      <c r="D34" s="19" t="s">
        <v>59</v>
      </c>
      <c r="E34" s="12" t="s">
        <v>2</v>
      </c>
      <c r="F34" s="9"/>
      <c r="G34" s="11" t="str">
        <f>IF(E34="Jā", "+", "")</f>
        <v/>
      </c>
      <c r="H34" s="11"/>
      <c r="I34" s="11"/>
      <c r="J34" s="14"/>
    </row>
    <row r="35" spans="1:10" ht="36" x14ac:dyDescent="0.25">
      <c r="A35" s="14"/>
      <c r="B35" s="558"/>
      <c r="C35" s="559"/>
      <c r="D35" s="19" t="s">
        <v>60</v>
      </c>
      <c r="E35" s="12" t="s">
        <v>2</v>
      </c>
      <c r="F35" s="11"/>
      <c r="G35" s="11"/>
      <c r="H35" s="11" t="str">
        <f>IF(E35="Jā", "+", "")</f>
        <v/>
      </c>
      <c r="I35" s="11"/>
      <c r="J35" s="14"/>
    </row>
    <row r="36" spans="1:10" ht="36" x14ac:dyDescent="0.25">
      <c r="A36" s="14"/>
      <c r="B36" s="554"/>
      <c r="C36" s="556"/>
      <c r="D36" s="19" t="s">
        <v>61</v>
      </c>
      <c r="E36" s="12" t="s">
        <v>2</v>
      </c>
      <c r="F36" s="11"/>
      <c r="G36" s="11"/>
      <c r="H36" s="11"/>
      <c r="I36" s="11" t="str">
        <f>IF(E36="Jā", "+", "")</f>
        <v/>
      </c>
      <c r="J36" s="14"/>
    </row>
    <row r="37" spans="1:10" ht="36" x14ac:dyDescent="0.25">
      <c r="A37" s="14"/>
      <c r="B37" s="21" t="s">
        <v>62</v>
      </c>
      <c r="C37" s="22" t="s">
        <v>63</v>
      </c>
      <c r="D37" s="19" t="s">
        <v>64</v>
      </c>
      <c r="E37" s="12" t="s">
        <v>2</v>
      </c>
      <c r="F37" s="11" t="str">
        <f>IF(E37="Jā", "+", "")</f>
        <v/>
      </c>
      <c r="G37" s="11"/>
      <c r="H37" s="11"/>
      <c r="I37" s="11"/>
      <c r="J37" s="14"/>
    </row>
    <row r="38" spans="1:10" ht="24" x14ac:dyDescent="0.25">
      <c r="A38" s="14"/>
      <c r="B38" s="21" t="s">
        <v>65</v>
      </c>
      <c r="C38" s="22" t="s">
        <v>66</v>
      </c>
      <c r="D38" s="19" t="s">
        <v>98</v>
      </c>
      <c r="E38" s="12" t="s">
        <v>2</v>
      </c>
      <c r="F38" s="11" t="str">
        <f>IF(E38="Jā", "+", "")</f>
        <v/>
      </c>
      <c r="G38" s="11"/>
      <c r="H38" s="11"/>
      <c r="I38" s="11"/>
      <c r="J38" s="14"/>
    </row>
    <row r="39" spans="1:10" ht="24" x14ac:dyDescent="0.25">
      <c r="A39" s="14"/>
      <c r="B39" s="21" t="s">
        <v>67</v>
      </c>
      <c r="C39" s="22" t="s">
        <v>68</v>
      </c>
      <c r="D39" s="19" t="s">
        <v>69</v>
      </c>
      <c r="E39" s="12" t="s">
        <v>2</v>
      </c>
      <c r="F39" s="11" t="str">
        <f>IF(E39="Jā", "+", "")</f>
        <v/>
      </c>
      <c r="G39" s="11"/>
      <c r="H39" s="11"/>
      <c r="I39" s="11"/>
      <c r="J39" s="14"/>
    </row>
    <row r="40" spans="1:10" ht="24" x14ac:dyDescent="0.25">
      <c r="A40" s="14"/>
      <c r="B40" s="21" t="s">
        <v>258</v>
      </c>
      <c r="C40" s="22" t="s">
        <v>259</v>
      </c>
      <c r="D40" s="19" t="s">
        <v>260</v>
      </c>
      <c r="E40" s="12" t="s">
        <v>2</v>
      </c>
      <c r="F40" s="11"/>
      <c r="G40" s="11"/>
      <c r="H40" s="11" t="str">
        <f>IF(E40="Jā", "+", "")</f>
        <v/>
      </c>
      <c r="I40" s="11"/>
      <c r="J40" s="14"/>
    </row>
    <row r="41" spans="1:10" x14ac:dyDescent="0.25">
      <c r="A41" s="14"/>
      <c r="B41" s="550" t="s">
        <v>70</v>
      </c>
      <c r="C41" s="551"/>
      <c r="D41" s="551"/>
      <c r="E41" s="551"/>
      <c r="F41" s="551"/>
      <c r="G41" s="551"/>
      <c r="H41" s="551"/>
      <c r="I41" s="552"/>
      <c r="J41" s="14"/>
    </row>
    <row r="42" spans="1:10" ht="48" x14ac:dyDescent="0.25">
      <c r="A42" s="14"/>
      <c r="B42" s="553" t="s">
        <v>71</v>
      </c>
      <c r="C42" s="555" t="s">
        <v>72</v>
      </c>
      <c r="D42" s="19" t="s">
        <v>73</v>
      </c>
      <c r="E42" s="12" t="s">
        <v>101</v>
      </c>
      <c r="F42" s="11"/>
      <c r="G42" s="11"/>
      <c r="H42" s="11"/>
      <c r="I42" s="11"/>
      <c r="J42" s="14"/>
    </row>
    <row r="43" spans="1:10" ht="24" x14ac:dyDescent="0.25">
      <c r="A43" s="14"/>
      <c r="B43" s="558"/>
      <c r="C43" s="559"/>
      <c r="D43" s="19" t="s">
        <v>74</v>
      </c>
      <c r="E43" s="12" t="s">
        <v>101</v>
      </c>
      <c r="F43" s="11" t="str">
        <f>IF(E43="Jā", "+", "")</f>
        <v/>
      </c>
      <c r="G43" s="11"/>
      <c r="H43" s="11"/>
      <c r="I43" s="11"/>
      <c r="J43" s="14"/>
    </row>
    <row r="44" spans="1:10" ht="24" x14ac:dyDescent="0.25">
      <c r="A44" s="14"/>
      <c r="B44" s="558"/>
      <c r="C44" s="559"/>
      <c r="D44" s="19" t="s">
        <v>93</v>
      </c>
      <c r="E44" s="12" t="s">
        <v>101</v>
      </c>
      <c r="F44" s="11"/>
      <c r="G44" s="11" t="str">
        <f>IF(E44="Jā", "+", "")</f>
        <v/>
      </c>
      <c r="H44" s="11"/>
      <c r="I44" s="11"/>
      <c r="J44" s="14"/>
    </row>
    <row r="45" spans="1:10" ht="24" x14ac:dyDescent="0.25">
      <c r="A45" s="14"/>
      <c r="B45" s="558"/>
      <c r="C45" s="559"/>
      <c r="D45" s="19" t="s">
        <v>94</v>
      </c>
      <c r="E45" s="12" t="s">
        <v>101</v>
      </c>
      <c r="F45" s="11"/>
      <c r="G45" s="11"/>
      <c r="H45" s="11" t="str">
        <f>IF(E45="Jā", "+", "")</f>
        <v/>
      </c>
      <c r="I45" s="11"/>
      <c r="J45" s="14"/>
    </row>
    <row r="46" spans="1:10" ht="24" x14ac:dyDescent="0.25">
      <c r="A46" s="14"/>
      <c r="B46" s="554"/>
      <c r="C46" s="556"/>
      <c r="D46" s="19" t="s">
        <v>95</v>
      </c>
      <c r="E46" s="12" t="s">
        <v>101</v>
      </c>
      <c r="F46" s="11"/>
      <c r="G46" s="11"/>
      <c r="H46" s="11"/>
      <c r="I46" s="11" t="str">
        <f>IF(E46="Jā", "+", "")</f>
        <v/>
      </c>
      <c r="J46" s="14"/>
    </row>
    <row r="47" spans="1:10" ht="24" x14ac:dyDescent="0.25">
      <c r="A47" s="14"/>
      <c r="B47" s="21" t="s">
        <v>99</v>
      </c>
      <c r="C47" s="22" t="s">
        <v>75</v>
      </c>
      <c r="D47" s="19" t="s">
        <v>76</v>
      </c>
      <c r="E47" s="12" t="s">
        <v>2</v>
      </c>
      <c r="F47" s="11" t="str">
        <f>IF(E47="Jā", "+", "")</f>
        <v/>
      </c>
      <c r="G47" s="11"/>
      <c r="H47" s="11"/>
      <c r="I47" s="11"/>
      <c r="J47" s="14"/>
    </row>
    <row r="48" spans="1:10" ht="24" x14ac:dyDescent="0.25">
      <c r="A48" s="14"/>
      <c r="B48" s="21" t="s">
        <v>261</v>
      </c>
      <c r="C48" s="22" t="s">
        <v>262</v>
      </c>
      <c r="D48" s="19" t="s">
        <v>263</v>
      </c>
      <c r="E48" s="12" t="s">
        <v>2</v>
      </c>
      <c r="F48" s="11" t="str">
        <f>IF(E48="Jā", "+", "")</f>
        <v/>
      </c>
      <c r="G48" s="11"/>
      <c r="H48" s="11"/>
      <c r="I48" s="11"/>
      <c r="J48" s="14"/>
    </row>
    <row r="49" spans="1:10" hidden="1" outlineLevel="1" x14ac:dyDescent="0.25">
      <c r="A49" s="14"/>
      <c r="B49" s="21"/>
      <c r="C49" s="22"/>
      <c r="D49" s="19"/>
      <c r="E49" s="12"/>
      <c r="F49" s="20"/>
      <c r="G49" s="20"/>
      <c r="H49" s="20"/>
      <c r="I49" s="20"/>
      <c r="J49" s="14"/>
    </row>
    <row r="50" spans="1:10" hidden="1" outlineLevel="1" x14ac:dyDescent="0.25">
      <c r="A50" s="14"/>
      <c r="B50" s="21"/>
      <c r="C50" s="25" t="s">
        <v>102</v>
      </c>
      <c r="D50" s="19"/>
      <c r="E50" s="12"/>
      <c r="F50" s="20"/>
      <c r="G50" s="20"/>
      <c r="H50" s="20"/>
      <c r="I50" s="20"/>
      <c r="J50" s="14"/>
    </row>
    <row r="51" spans="1:10" hidden="1" outlineLevel="1" x14ac:dyDescent="0.25">
      <c r="A51" s="14"/>
      <c r="B51" s="21"/>
      <c r="C51" s="22"/>
      <c r="D51" s="19"/>
      <c r="E51" s="12"/>
      <c r="F51" s="20"/>
      <c r="G51" s="20"/>
      <c r="H51" s="20"/>
      <c r="I51" s="20"/>
      <c r="J51" s="14"/>
    </row>
    <row r="52" spans="1:10" collapsed="1" x14ac:dyDescent="0.25">
      <c r="A52" s="14"/>
      <c r="B52" s="14"/>
      <c r="C52" s="14"/>
      <c r="D52" s="14"/>
      <c r="E52" s="14"/>
      <c r="F52" s="14"/>
      <c r="G52" s="14"/>
      <c r="H52" s="14"/>
      <c r="I52" s="14"/>
      <c r="J52" s="14"/>
    </row>
    <row r="53" spans="1:10" x14ac:dyDescent="0.25">
      <c r="A53" s="14"/>
      <c r="B53" s="563" t="s">
        <v>90</v>
      </c>
      <c r="C53" s="563"/>
      <c r="D53" s="563"/>
      <c r="E53" s="563"/>
      <c r="F53" s="563"/>
      <c r="G53" s="563"/>
      <c r="H53" s="563"/>
      <c r="I53" s="563"/>
      <c r="J53" s="14"/>
    </row>
    <row r="54" spans="1:10" x14ac:dyDescent="0.25">
      <c r="A54" s="14"/>
      <c r="B54" s="14"/>
      <c r="C54" s="14"/>
      <c r="D54" s="14"/>
      <c r="E54" s="14"/>
      <c r="F54" s="14"/>
      <c r="G54" s="14"/>
      <c r="H54" s="14"/>
      <c r="I54" s="14"/>
      <c r="J54" s="14"/>
    </row>
    <row r="55" spans="1:10" x14ac:dyDescent="0.25">
      <c r="B55" s="14"/>
      <c r="C55" s="14"/>
      <c r="D55" s="14"/>
      <c r="E55" s="14"/>
      <c r="F55" s="14"/>
      <c r="G55" s="14"/>
      <c r="H55" s="14"/>
      <c r="I55" s="14"/>
      <c r="J55" s="14"/>
    </row>
  </sheetData>
  <sheetProtection formatCells="0" formatColumns="0" formatRows="0" insertRows="0" deleteRows="0" selectLockedCells="1" selectUnlockedCells="1"/>
  <mergeCells count="23">
    <mergeCell ref="B41:I41"/>
    <mergeCell ref="B53:I53"/>
    <mergeCell ref="B42:B46"/>
    <mergeCell ref="C42:C46"/>
    <mergeCell ref="B32:B36"/>
    <mergeCell ref="C32:C36"/>
    <mergeCell ref="B2:I2"/>
    <mergeCell ref="B6:I6"/>
    <mergeCell ref="B12:I12"/>
    <mergeCell ref="B21:I21"/>
    <mergeCell ref="B27:I27"/>
    <mergeCell ref="B17:B19"/>
    <mergeCell ref="C17:C19"/>
    <mergeCell ref="B9:B10"/>
    <mergeCell ref="C9:C10"/>
    <mergeCell ref="B7:B8"/>
    <mergeCell ref="C7:C8"/>
    <mergeCell ref="B5:C5"/>
    <mergeCell ref="B31:I31"/>
    <mergeCell ref="B25:B26"/>
    <mergeCell ref="C25:C26"/>
    <mergeCell ref="B23:B24"/>
    <mergeCell ref="C23:C24"/>
  </mergeCells>
  <conditionalFormatting sqref="F7:I11 F13:I20 F22:I26 F32:I40 F42:I48">
    <cfRule type="cellIs" dxfId="1" priority="2" operator="equal">
      <formula>"+"</formula>
    </cfRule>
  </conditionalFormatting>
  <conditionalFormatting sqref="F28:I30">
    <cfRule type="cellIs" dxfId="0" priority="1" operator="equal">
      <formula>"+"</formula>
    </cfRule>
  </conditionalFormatting>
  <dataValidations count="2">
    <dataValidation type="list" allowBlank="1" showInputMessage="1" showErrorMessage="1" sqref="E28" xr:uid="{00000000-0002-0000-0A00-000000000000}">
      <formula1>$L$6:$L$10</formula1>
    </dataValidation>
    <dataValidation type="list" allowBlank="1" showInputMessage="1" showErrorMessage="1" sqref="E7:E11 E13:E20 E22:E26 E42:E51 E32:E40 E5 E29:E30" xr:uid="{00000000-0002-0000-0A00-000001000000}">
      <formula1>$K$6:$K$8</formula1>
    </dataValidation>
  </dataValidations>
  <pageMargins left="0.7" right="0.7" top="0.75" bottom="0.75" header="0.3" footer="0.3"/>
  <pageSetup paperSize="9" scale="54" orientation="portrait"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6F13-4A8A-4C8F-920F-AF444D5B8F1A}">
  <dimension ref="A1:AE256"/>
  <sheetViews>
    <sheetView showGridLines="0" zoomScale="85" zoomScaleNormal="85" workbookViewId="0">
      <pane ySplit="1" topLeftCell="A92" activePane="bottomLeft" state="frozen"/>
      <selection pane="bottomLeft" activeCell="G45" sqref="G45"/>
    </sheetView>
  </sheetViews>
  <sheetFormatPr defaultColWidth="8.85546875" defaultRowHeight="12.75" outlineLevelRow="2" x14ac:dyDescent="0.2"/>
  <cols>
    <col min="1" max="1" width="6.42578125" style="171" customWidth="1"/>
    <col min="2" max="2" width="66.140625" style="171" customWidth="1"/>
    <col min="3" max="3" width="13.28515625" style="171" customWidth="1"/>
    <col min="4" max="4" width="11.140625" style="171" customWidth="1"/>
    <col min="5" max="5" width="9.85546875" style="171" customWidth="1"/>
    <col min="6" max="6" width="10.42578125" style="171" bestFit="1" customWidth="1"/>
    <col min="7" max="7" width="9.7109375" style="171" bestFit="1" customWidth="1"/>
    <col min="8" max="8" width="9.140625" style="171" bestFit="1" customWidth="1"/>
    <col min="9" max="27" width="8.5703125" style="171" bestFit="1" customWidth="1"/>
    <col min="28" max="28" width="8.85546875" style="171" hidden="1" customWidth="1"/>
    <col min="29" max="29" width="14.85546875" style="171" bestFit="1" customWidth="1"/>
    <col min="30" max="30" width="8.85546875" style="171"/>
    <col min="31" max="31" width="9.28515625" style="171" bestFit="1" customWidth="1"/>
    <col min="32" max="16384" width="8.85546875" style="171"/>
  </cols>
  <sheetData>
    <row r="1" spans="1:28" s="354" customFormat="1" ht="27.6" customHeight="1" x14ac:dyDescent="0.25">
      <c r="B1" s="505" t="s">
        <v>502</v>
      </c>
      <c r="C1" s="505"/>
      <c r="D1" s="354">
        <v>2025</v>
      </c>
      <c r="E1" s="354">
        <f t="shared" ref="E1:AB1" si="0">D1+1</f>
        <v>2026</v>
      </c>
      <c r="F1" s="354">
        <f t="shared" si="0"/>
        <v>2027</v>
      </c>
      <c r="G1" s="354">
        <f t="shared" si="0"/>
        <v>2028</v>
      </c>
      <c r="H1" s="354">
        <f t="shared" si="0"/>
        <v>2029</v>
      </c>
      <c r="I1" s="354">
        <f t="shared" si="0"/>
        <v>2030</v>
      </c>
      <c r="J1" s="354">
        <f t="shared" si="0"/>
        <v>2031</v>
      </c>
      <c r="K1" s="354">
        <f t="shared" si="0"/>
        <v>2032</v>
      </c>
      <c r="L1" s="354">
        <f t="shared" si="0"/>
        <v>2033</v>
      </c>
      <c r="M1" s="354">
        <f t="shared" si="0"/>
        <v>2034</v>
      </c>
      <c r="N1" s="354">
        <f t="shared" si="0"/>
        <v>2035</v>
      </c>
      <c r="O1" s="354">
        <f t="shared" si="0"/>
        <v>2036</v>
      </c>
      <c r="P1" s="354">
        <f t="shared" si="0"/>
        <v>2037</v>
      </c>
      <c r="Q1" s="354">
        <f t="shared" si="0"/>
        <v>2038</v>
      </c>
      <c r="R1" s="354">
        <f t="shared" si="0"/>
        <v>2039</v>
      </c>
      <c r="S1" s="354">
        <f t="shared" si="0"/>
        <v>2040</v>
      </c>
      <c r="T1" s="354">
        <f t="shared" si="0"/>
        <v>2041</v>
      </c>
      <c r="U1" s="354">
        <f t="shared" si="0"/>
        <v>2042</v>
      </c>
      <c r="V1" s="354">
        <f t="shared" si="0"/>
        <v>2043</v>
      </c>
      <c r="W1" s="354">
        <f t="shared" si="0"/>
        <v>2044</v>
      </c>
      <c r="X1" s="354">
        <f t="shared" si="0"/>
        <v>2045</v>
      </c>
      <c r="Y1" s="354">
        <f t="shared" si="0"/>
        <v>2046</v>
      </c>
      <c r="Z1" s="354">
        <f t="shared" si="0"/>
        <v>2047</v>
      </c>
      <c r="AA1" s="354">
        <f t="shared" si="0"/>
        <v>2048</v>
      </c>
      <c r="AB1" s="354">
        <f t="shared" si="0"/>
        <v>2049</v>
      </c>
    </row>
    <row r="2" spans="1:28" s="168" customFormat="1" x14ac:dyDescent="0.2">
      <c r="B2" s="353" t="s">
        <v>501</v>
      </c>
    </row>
    <row r="3" spans="1:28" s="310" customFormat="1" ht="23.25" x14ac:dyDescent="0.35">
      <c r="B3" s="310" t="s">
        <v>264</v>
      </c>
    </row>
    <row r="4" spans="1:28" x14ac:dyDescent="0.2">
      <c r="B4" s="506" t="s">
        <v>265</v>
      </c>
      <c r="C4" s="507"/>
      <c r="D4" s="170">
        <v>3.1E-2</v>
      </c>
      <c r="E4" s="170">
        <v>2.7E-2</v>
      </c>
      <c r="F4" s="170">
        <v>2.7E-2</v>
      </c>
      <c r="G4" s="170">
        <v>2.4E-2</v>
      </c>
      <c r="H4" s="170">
        <v>0.02</v>
      </c>
      <c r="I4" s="170">
        <f t="shared" ref="I4:AB4" si="1">H4</f>
        <v>0.02</v>
      </c>
      <c r="J4" s="170">
        <f t="shared" si="1"/>
        <v>0.02</v>
      </c>
      <c r="K4" s="170">
        <f t="shared" si="1"/>
        <v>0.02</v>
      </c>
      <c r="L4" s="170">
        <f t="shared" si="1"/>
        <v>0.02</v>
      </c>
      <c r="M4" s="170">
        <f t="shared" si="1"/>
        <v>0.02</v>
      </c>
      <c r="N4" s="170">
        <f t="shared" si="1"/>
        <v>0.02</v>
      </c>
      <c r="O4" s="170">
        <f t="shared" si="1"/>
        <v>0.02</v>
      </c>
      <c r="P4" s="170">
        <f t="shared" si="1"/>
        <v>0.02</v>
      </c>
      <c r="Q4" s="170">
        <f t="shared" si="1"/>
        <v>0.02</v>
      </c>
      <c r="R4" s="170">
        <f t="shared" si="1"/>
        <v>0.02</v>
      </c>
      <c r="S4" s="170">
        <f t="shared" si="1"/>
        <v>0.02</v>
      </c>
      <c r="T4" s="170">
        <f t="shared" si="1"/>
        <v>0.02</v>
      </c>
      <c r="U4" s="170">
        <f t="shared" si="1"/>
        <v>0.02</v>
      </c>
      <c r="V4" s="170">
        <f t="shared" si="1"/>
        <v>0.02</v>
      </c>
      <c r="W4" s="170">
        <f t="shared" si="1"/>
        <v>0.02</v>
      </c>
      <c r="X4" s="170">
        <f t="shared" si="1"/>
        <v>0.02</v>
      </c>
      <c r="Y4" s="170">
        <f t="shared" si="1"/>
        <v>0.02</v>
      </c>
      <c r="Z4" s="170">
        <f t="shared" si="1"/>
        <v>0.02</v>
      </c>
      <c r="AA4" s="170">
        <f t="shared" si="1"/>
        <v>0.02</v>
      </c>
      <c r="AB4" s="170">
        <f t="shared" si="1"/>
        <v>0.02</v>
      </c>
    </row>
    <row r="5" spans="1:28" x14ac:dyDescent="0.2">
      <c r="B5" s="506" t="s">
        <v>266</v>
      </c>
      <c r="C5" s="507"/>
      <c r="D5" s="170">
        <v>3.2000000000000001E-2</v>
      </c>
      <c r="E5" s="170">
        <v>3.2000000000000001E-2</v>
      </c>
      <c r="F5" s="170">
        <v>2.4E-2</v>
      </c>
      <c r="G5" s="170">
        <v>2.4E-2</v>
      </c>
      <c r="H5" s="170">
        <v>2.1000000000000001E-2</v>
      </c>
      <c r="I5" s="170">
        <f t="shared" ref="I5:AB5" si="2">H5</f>
        <v>2.1000000000000001E-2</v>
      </c>
      <c r="J5" s="170">
        <f t="shared" si="2"/>
        <v>2.1000000000000001E-2</v>
      </c>
      <c r="K5" s="170">
        <f t="shared" si="2"/>
        <v>2.1000000000000001E-2</v>
      </c>
      <c r="L5" s="170">
        <f t="shared" si="2"/>
        <v>2.1000000000000001E-2</v>
      </c>
      <c r="M5" s="170">
        <f t="shared" si="2"/>
        <v>2.1000000000000001E-2</v>
      </c>
      <c r="N5" s="170">
        <f t="shared" si="2"/>
        <v>2.1000000000000001E-2</v>
      </c>
      <c r="O5" s="170">
        <f t="shared" si="2"/>
        <v>2.1000000000000001E-2</v>
      </c>
      <c r="P5" s="170">
        <f t="shared" si="2"/>
        <v>2.1000000000000001E-2</v>
      </c>
      <c r="Q5" s="170">
        <f t="shared" si="2"/>
        <v>2.1000000000000001E-2</v>
      </c>
      <c r="R5" s="170">
        <f t="shared" si="2"/>
        <v>2.1000000000000001E-2</v>
      </c>
      <c r="S5" s="170">
        <f t="shared" si="2"/>
        <v>2.1000000000000001E-2</v>
      </c>
      <c r="T5" s="170">
        <f t="shared" si="2"/>
        <v>2.1000000000000001E-2</v>
      </c>
      <c r="U5" s="170">
        <f t="shared" si="2"/>
        <v>2.1000000000000001E-2</v>
      </c>
      <c r="V5" s="170">
        <f t="shared" si="2"/>
        <v>2.1000000000000001E-2</v>
      </c>
      <c r="W5" s="170">
        <f t="shared" si="2"/>
        <v>2.1000000000000001E-2</v>
      </c>
      <c r="X5" s="170">
        <f t="shared" si="2"/>
        <v>2.1000000000000001E-2</v>
      </c>
      <c r="Y5" s="170">
        <f t="shared" si="2"/>
        <v>2.1000000000000001E-2</v>
      </c>
      <c r="Z5" s="170">
        <f t="shared" si="2"/>
        <v>2.1000000000000001E-2</v>
      </c>
      <c r="AA5" s="170">
        <f t="shared" si="2"/>
        <v>2.1000000000000001E-2</v>
      </c>
      <c r="AB5" s="170">
        <f t="shared" si="2"/>
        <v>2.1000000000000001E-2</v>
      </c>
    </row>
    <row r="6" spans="1:28" x14ac:dyDescent="0.2">
      <c r="B6" s="506" t="s">
        <v>500</v>
      </c>
      <c r="C6" s="507"/>
      <c r="D6" s="170"/>
      <c r="E6" s="170">
        <f>D5</f>
        <v>3.2000000000000001E-2</v>
      </c>
      <c r="F6" s="170">
        <f t="shared" ref="F6:AB6" si="3">(1+E6)*(1+E5)-1</f>
        <v>6.5023999999999971E-2</v>
      </c>
      <c r="G6" s="170">
        <f t="shared" si="3"/>
        <v>9.0584575999999917E-2</v>
      </c>
      <c r="H6" s="170">
        <f t="shared" si="3"/>
        <v>0.11675860582399999</v>
      </c>
      <c r="I6" s="170">
        <f t="shared" si="3"/>
        <v>0.140210536546304</v>
      </c>
      <c r="J6" s="170">
        <f t="shared" si="3"/>
        <v>0.1641549578137762</v>
      </c>
      <c r="K6" s="170">
        <f t="shared" si="3"/>
        <v>0.18860221192786542</v>
      </c>
      <c r="L6" s="170">
        <f t="shared" si="3"/>
        <v>0.21356285837835043</v>
      </c>
      <c r="M6" s="170">
        <f t="shared" si="3"/>
        <v>0.23904767840429564</v>
      </c>
      <c r="N6" s="170">
        <f t="shared" si="3"/>
        <v>0.26506767965078581</v>
      </c>
      <c r="O6" s="170">
        <f t="shared" si="3"/>
        <v>0.29163410092345221</v>
      </c>
      <c r="P6" s="170">
        <f t="shared" si="3"/>
        <v>0.31875841704284458</v>
      </c>
      <c r="Q6" s="170">
        <f t="shared" si="3"/>
        <v>0.3464523438007443</v>
      </c>
      <c r="R6" s="170">
        <f t="shared" si="3"/>
        <v>0.37472784302055984</v>
      </c>
      <c r="S6" s="170">
        <f t="shared" si="3"/>
        <v>0.40359712772399137</v>
      </c>
      <c r="T6" s="170">
        <f t="shared" si="3"/>
        <v>0.4330726674061951</v>
      </c>
      <c r="U6" s="170">
        <f t="shared" si="3"/>
        <v>0.46316719342172497</v>
      </c>
      <c r="V6" s="170">
        <f t="shared" si="3"/>
        <v>0.49389370448358116</v>
      </c>
      <c r="W6" s="170">
        <f t="shared" si="3"/>
        <v>0.52526547227773612</v>
      </c>
      <c r="X6" s="170">
        <f t="shared" si="3"/>
        <v>0.55729604719556836</v>
      </c>
      <c r="Y6" s="170">
        <f t="shared" si="3"/>
        <v>0.58999926418667514</v>
      </c>
      <c r="Z6" s="170">
        <f t="shared" si="3"/>
        <v>0.62338924873459511</v>
      </c>
      <c r="AA6" s="170">
        <f t="shared" si="3"/>
        <v>0.65748042295802156</v>
      </c>
      <c r="AB6" s="170">
        <f t="shared" si="3"/>
        <v>0.69228751184013992</v>
      </c>
    </row>
    <row r="7" spans="1:28" x14ac:dyDescent="0.2">
      <c r="B7" s="508" t="s">
        <v>499</v>
      </c>
      <c r="C7" s="508"/>
      <c r="D7" s="170">
        <v>0.27</v>
      </c>
      <c r="E7" s="172"/>
      <c r="F7" s="172"/>
      <c r="G7" s="172"/>
      <c r="H7" s="172"/>
      <c r="I7" s="172"/>
      <c r="J7" s="172"/>
      <c r="K7" s="172"/>
      <c r="L7" s="172"/>
      <c r="M7" s="172"/>
      <c r="N7" s="172"/>
      <c r="O7" s="172"/>
      <c r="P7" s="172"/>
      <c r="Q7" s="172"/>
      <c r="R7" s="172"/>
      <c r="S7" s="172"/>
      <c r="T7" s="172"/>
      <c r="U7" s="172"/>
      <c r="V7" s="172"/>
      <c r="W7" s="172"/>
      <c r="X7" s="172"/>
      <c r="Y7" s="172"/>
      <c r="Z7" s="172"/>
      <c r="AA7" s="172"/>
      <c r="AB7" s="172"/>
    </row>
    <row r="8" spans="1:28" x14ac:dyDescent="0.2">
      <c r="B8" s="508" t="s">
        <v>498</v>
      </c>
      <c r="C8" s="508"/>
      <c r="D8" s="170">
        <v>0.04</v>
      </c>
      <c r="E8" s="172"/>
      <c r="F8" s="172"/>
      <c r="G8" s="172"/>
      <c r="H8" s="172"/>
      <c r="I8" s="172"/>
      <c r="J8" s="172"/>
      <c r="K8" s="172"/>
      <c r="L8" s="172"/>
      <c r="M8" s="172"/>
      <c r="N8" s="172"/>
      <c r="O8" s="172"/>
      <c r="P8" s="172"/>
      <c r="Q8" s="172"/>
      <c r="R8" s="172"/>
      <c r="S8" s="172"/>
      <c r="T8" s="172"/>
      <c r="U8" s="172"/>
      <c r="V8" s="172"/>
      <c r="W8" s="172"/>
      <c r="X8" s="172"/>
      <c r="Y8" s="172"/>
      <c r="Z8" s="172"/>
      <c r="AA8" s="172"/>
      <c r="AB8" s="172"/>
    </row>
    <row r="9" spans="1:28" x14ac:dyDescent="0.2">
      <c r="B9" s="508" t="s">
        <v>497</v>
      </c>
      <c r="C9" s="508"/>
      <c r="D9" s="170">
        <v>0.05</v>
      </c>
      <c r="E9" s="172"/>
      <c r="F9" s="172"/>
      <c r="G9" s="172"/>
      <c r="H9" s="172"/>
      <c r="I9" s="172"/>
      <c r="J9" s="172"/>
      <c r="K9" s="172"/>
      <c r="L9" s="172"/>
      <c r="M9" s="172"/>
      <c r="N9" s="172"/>
      <c r="O9" s="172"/>
      <c r="P9" s="172"/>
      <c r="Q9" s="172"/>
      <c r="R9" s="172"/>
      <c r="S9" s="172"/>
      <c r="T9" s="172"/>
      <c r="U9" s="172"/>
      <c r="V9" s="172"/>
      <c r="W9" s="172"/>
      <c r="X9" s="172"/>
      <c r="Y9" s="172"/>
      <c r="Z9" s="172"/>
      <c r="AA9" s="172"/>
      <c r="AB9" s="172"/>
    </row>
    <row r="10" spans="1:28" x14ac:dyDescent="0.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row>
    <row r="11" spans="1:28" s="310" customFormat="1" ht="23.25" x14ac:dyDescent="0.35">
      <c r="B11" s="310" t="s">
        <v>496</v>
      </c>
    </row>
    <row r="12" spans="1:28" outlineLevel="1" x14ac:dyDescent="0.2">
      <c r="C12" s="172"/>
      <c r="D12" s="172"/>
      <c r="E12" s="172"/>
      <c r="F12" s="172"/>
      <c r="G12" s="172"/>
      <c r="H12" s="172"/>
      <c r="I12" s="172"/>
      <c r="J12" s="172"/>
      <c r="K12" s="172"/>
      <c r="L12" s="172"/>
      <c r="M12" s="172"/>
      <c r="N12" s="172"/>
      <c r="O12" s="172"/>
      <c r="P12" s="172"/>
      <c r="Q12" s="172"/>
      <c r="R12" s="172"/>
      <c r="S12" s="172"/>
      <c r="T12" s="172"/>
      <c r="U12" s="172"/>
      <c r="V12" s="172"/>
      <c r="W12" s="172"/>
      <c r="X12" s="172"/>
    </row>
    <row r="13" spans="1:28" s="338" customFormat="1" outlineLevel="1" x14ac:dyDescent="0.2">
      <c r="A13" s="258" t="s">
        <v>271</v>
      </c>
      <c r="C13" s="339"/>
      <c r="D13" s="339"/>
      <c r="E13" s="339"/>
      <c r="F13" s="339"/>
      <c r="G13" s="339"/>
      <c r="H13" s="339"/>
      <c r="I13" s="339"/>
      <c r="J13" s="339"/>
      <c r="K13" s="339"/>
      <c r="L13" s="339"/>
      <c r="M13" s="339"/>
      <c r="N13" s="339"/>
      <c r="O13" s="339"/>
      <c r="P13" s="339"/>
      <c r="Q13" s="339"/>
      <c r="R13" s="339"/>
      <c r="S13" s="339"/>
      <c r="T13" s="339"/>
      <c r="U13" s="339"/>
      <c r="V13" s="339"/>
      <c r="W13" s="339"/>
      <c r="X13" s="339"/>
    </row>
    <row r="14" spans="1:28" ht="13.9" customHeight="1" outlineLevel="1" x14ac:dyDescent="0.2">
      <c r="A14" s="509" t="s">
        <v>320</v>
      </c>
      <c r="B14" s="509" t="s">
        <v>495</v>
      </c>
      <c r="C14" s="509" t="s">
        <v>413</v>
      </c>
      <c r="D14" s="510">
        <v>2023</v>
      </c>
      <c r="E14" s="510"/>
      <c r="F14" s="510"/>
      <c r="G14" s="172"/>
      <c r="H14" s="172"/>
      <c r="I14" s="172"/>
      <c r="J14" s="172"/>
      <c r="K14" s="172"/>
      <c r="L14" s="172"/>
      <c r="M14" s="172"/>
      <c r="N14" s="172"/>
      <c r="O14" s="172"/>
      <c r="P14" s="172"/>
      <c r="Q14" s="172"/>
      <c r="R14" s="172"/>
      <c r="S14" s="172"/>
      <c r="T14" s="172"/>
      <c r="U14" s="172"/>
      <c r="V14" s="172"/>
      <c r="W14" s="172"/>
      <c r="X14" s="172"/>
    </row>
    <row r="15" spans="1:28" outlineLevel="1" x14ac:dyDescent="0.2">
      <c r="A15" s="509"/>
      <c r="B15" s="509"/>
      <c r="C15" s="509"/>
      <c r="D15" s="352" t="s">
        <v>494</v>
      </c>
      <c r="E15" s="352" t="s">
        <v>493</v>
      </c>
      <c r="F15" s="352" t="s">
        <v>286</v>
      </c>
      <c r="G15" s="172"/>
      <c r="H15" s="172"/>
      <c r="I15" s="172"/>
      <c r="J15" s="172"/>
      <c r="K15" s="172"/>
      <c r="L15" s="172"/>
      <c r="M15" s="172"/>
      <c r="N15" s="172"/>
      <c r="O15" s="172"/>
      <c r="P15" s="172"/>
      <c r="Q15" s="172"/>
      <c r="R15" s="172"/>
      <c r="S15" s="172"/>
      <c r="T15" s="172"/>
      <c r="U15" s="172"/>
      <c r="V15" s="172"/>
      <c r="W15" s="172"/>
      <c r="X15" s="172"/>
    </row>
    <row r="16" spans="1:28" outlineLevel="1" x14ac:dyDescent="0.2">
      <c r="A16" s="351">
        <v>1</v>
      </c>
      <c r="B16" s="351">
        <v>2</v>
      </c>
      <c r="C16" s="351">
        <v>3</v>
      </c>
      <c r="D16" s="351">
        <v>7</v>
      </c>
      <c r="E16" s="351">
        <v>8</v>
      </c>
      <c r="F16" s="351">
        <v>9</v>
      </c>
      <c r="G16" s="172"/>
      <c r="H16" s="172"/>
      <c r="I16" s="172"/>
      <c r="J16" s="172"/>
      <c r="K16" s="172"/>
      <c r="L16" s="172"/>
      <c r="M16" s="172"/>
      <c r="N16" s="172"/>
      <c r="O16" s="172"/>
      <c r="P16" s="172"/>
      <c r="Q16" s="172"/>
      <c r="R16" s="172"/>
      <c r="S16" s="172"/>
      <c r="T16" s="172"/>
      <c r="U16" s="172"/>
      <c r="V16" s="172"/>
      <c r="W16" s="172"/>
      <c r="X16" s="172"/>
    </row>
    <row r="17" spans="1:24" ht="15" outlineLevel="1" x14ac:dyDescent="0.2">
      <c r="A17" s="333">
        <v>1</v>
      </c>
      <c r="B17" s="350" t="s">
        <v>492</v>
      </c>
      <c r="C17" s="349" t="s">
        <v>491</v>
      </c>
      <c r="D17" s="348">
        <v>39209.86</v>
      </c>
      <c r="E17" s="348">
        <v>11037</v>
      </c>
      <c r="F17" s="348">
        <v>50246.86</v>
      </c>
      <c r="G17" s="172"/>
      <c r="H17" s="172"/>
      <c r="I17" s="172"/>
      <c r="J17" s="172"/>
      <c r="K17" s="172"/>
      <c r="L17" s="172"/>
      <c r="M17" s="172"/>
      <c r="N17" s="172"/>
      <c r="O17" s="172"/>
      <c r="P17" s="172"/>
      <c r="Q17" s="172"/>
      <c r="R17" s="172"/>
      <c r="S17" s="172"/>
      <c r="T17" s="172"/>
      <c r="U17" s="172"/>
      <c r="V17" s="172"/>
      <c r="W17" s="172"/>
      <c r="X17" s="172"/>
    </row>
    <row r="18" spans="1:24" ht="15" outlineLevel="1" x14ac:dyDescent="0.2">
      <c r="A18" s="333" t="s">
        <v>19</v>
      </c>
      <c r="B18" s="347" t="s">
        <v>490</v>
      </c>
      <c r="C18" s="346" t="s">
        <v>487</v>
      </c>
      <c r="D18" s="345"/>
      <c r="E18" s="345">
        <v>11037</v>
      </c>
      <c r="F18" s="345">
        <v>11037</v>
      </c>
      <c r="G18" s="172"/>
      <c r="H18" s="172"/>
      <c r="I18" s="172"/>
      <c r="J18" s="172"/>
      <c r="K18" s="172"/>
      <c r="L18" s="172"/>
      <c r="M18" s="172"/>
      <c r="N18" s="172"/>
      <c r="O18" s="172"/>
      <c r="P18" s="172"/>
      <c r="Q18" s="172"/>
      <c r="R18" s="172"/>
      <c r="S18" s="172"/>
      <c r="T18" s="172"/>
      <c r="U18" s="172"/>
      <c r="V18" s="172"/>
      <c r="W18" s="172"/>
      <c r="X18" s="172"/>
    </row>
    <row r="19" spans="1:24" ht="15" outlineLevel="1" x14ac:dyDescent="0.2">
      <c r="A19" s="333" t="s">
        <v>21</v>
      </c>
      <c r="B19" s="347" t="s">
        <v>489</v>
      </c>
      <c r="C19" s="346" t="s">
        <v>487</v>
      </c>
      <c r="D19" s="345">
        <v>32631.970404420495</v>
      </c>
      <c r="E19" s="345"/>
      <c r="F19" s="345">
        <v>32631.970404420495</v>
      </c>
      <c r="G19" s="172"/>
      <c r="H19" s="172"/>
      <c r="I19" s="172"/>
      <c r="J19" s="172"/>
      <c r="K19" s="172"/>
      <c r="L19" s="172"/>
      <c r="M19" s="172"/>
      <c r="N19" s="172"/>
      <c r="O19" s="172"/>
      <c r="P19" s="172"/>
      <c r="Q19" s="172"/>
      <c r="R19" s="172"/>
      <c r="S19" s="172"/>
      <c r="T19" s="172"/>
      <c r="U19" s="172"/>
      <c r="V19" s="172"/>
      <c r="W19" s="172"/>
      <c r="X19" s="172"/>
    </row>
    <row r="20" spans="1:24" ht="15" outlineLevel="1" x14ac:dyDescent="0.2">
      <c r="A20" s="333" t="s">
        <v>24</v>
      </c>
      <c r="B20" s="347" t="s">
        <v>488</v>
      </c>
      <c r="C20" s="346" t="s">
        <v>487</v>
      </c>
      <c r="D20" s="345">
        <v>6577.8895955795078</v>
      </c>
      <c r="E20" s="345"/>
      <c r="F20" s="345">
        <v>6577.8895955795078</v>
      </c>
      <c r="G20" s="172"/>
      <c r="H20" s="172"/>
      <c r="I20" s="172"/>
      <c r="J20" s="172"/>
      <c r="K20" s="172"/>
      <c r="L20" s="172"/>
      <c r="M20" s="172"/>
      <c r="N20" s="172"/>
      <c r="O20" s="172"/>
      <c r="P20" s="172"/>
      <c r="Q20" s="172"/>
      <c r="R20" s="172"/>
      <c r="S20" s="172"/>
      <c r="T20" s="172"/>
      <c r="U20" s="172"/>
      <c r="V20" s="172"/>
      <c r="W20" s="172"/>
      <c r="X20" s="172"/>
    </row>
    <row r="21" spans="1:24" outlineLevel="1" x14ac:dyDescent="0.2">
      <c r="A21" s="333" t="s">
        <v>28</v>
      </c>
      <c r="B21" s="321" t="s">
        <v>442</v>
      </c>
      <c r="C21" s="333" t="s">
        <v>477</v>
      </c>
      <c r="D21" s="343">
        <v>1034.94</v>
      </c>
      <c r="E21" s="343">
        <v>276.62900000000002</v>
      </c>
      <c r="F21" s="343">
        <f t="shared" ref="F21:F33" si="4">D21+E21</f>
        <v>1311.569</v>
      </c>
      <c r="G21" s="172"/>
      <c r="H21" s="172"/>
      <c r="I21" s="172"/>
      <c r="J21" s="172"/>
      <c r="K21" s="172"/>
      <c r="L21" s="172"/>
      <c r="M21" s="172"/>
      <c r="N21" s="172"/>
      <c r="O21" s="172"/>
      <c r="P21" s="172"/>
      <c r="Q21" s="172"/>
      <c r="R21" s="172"/>
      <c r="S21" s="172"/>
      <c r="T21" s="172"/>
      <c r="U21" s="172"/>
      <c r="V21" s="172"/>
      <c r="W21" s="172"/>
      <c r="X21" s="172"/>
    </row>
    <row r="22" spans="1:24" outlineLevel="1" x14ac:dyDescent="0.2">
      <c r="A22" s="333" t="s">
        <v>30</v>
      </c>
      <c r="B22" s="321" t="s">
        <v>441</v>
      </c>
      <c r="C22" s="333" t="s">
        <v>477</v>
      </c>
      <c r="D22" s="343">
        <v>4.47</v>
      </c>
      <c r="E22" s="343">
        <v>0.58099999999999996</v>
      </c>
      <c r="F22" s="343">
        <f t="shared" si="4"/>
        <v>5.0510000000000002</v>
      </c>
      <c r="G22" s="172"/>
      <c r="H22" s="172"/>
      <c r="I22" s="172"/>
      <c r="J22" s="172"/>
      <c r="K22" s="172"/>
      <c r="L22" s="172"/>
      <c r="M22" s="172"/>
      <c r="N22" s="172"/>
      <c r="O22" s="172"/>
      <c r="P22" s="172"/>
      <c r="Q22" s="172"/>
      <c r="R22" s="172"/>
      <c r="S22" s="172"/>
      <c r="T22" s="172"/>
      <c r="U22" s="172"/>
      <c r="V22" s="172"/>
      <c r="W22" s="172"/>
      <c r="X22" s="172"/>
    </row>
    <row r="23" spans="1:24" outlineLevel="1" x14ac:dyDescent="0.2">
      <c r="A23" s="333" t="s">
        <v>486</v>
      </c>
      <c r="B23" s="321" t="s">
        <v>292</v>
      </c>
      <c r="C23" s="333" t="s">
        <v>477</v>
      </c>
      <c r="D23" s="343">
        <v>12.84</v>
      </c>
      <c r="E23" s="343">
        <v>25.79</v>
      </c>
      <c r="F23" s="343">
        <f t="shared" si="4"/>
        <v>38.629999999999995</v>
      </c>
      <c r="G23" s="172"/>
      <c r="H23" s="172"/>
      <c r="I23" s="172"/>
      <c r="J23" s="172"/>
      <c r="K23" s="172"/>
      <c r="L23" s="172"/>
      <c r="M23" s="172"/>
      <c r="N23" s="172"/>
      <c r="O23" s="172"/>
      <c r="P23" s="172"/>
      <c r="Q23" s="172"/>
      <c r="R23" s="172"/>
      <c r="S23" s="172"/>
      <c r="T23" s="172"/>
      <c r="U23" s="172"/>
      <c r="V23" s="172"/>
      <c r="W23" s="172"/>
      <c r="X23" s="172"/>
    </row>
    <row r="24" spans="1:24" outlineLevel="1" x14ac:dyDescent="0.2">
      <c r="A24" s="333" t="s">
        <v>38</v>
      </c>
      <c r="B24" s="321" t="s">
        <v>440</v>
      </c>
      <c r="C24" s="333" t="s">
        <v>477</v>
      </c>
      <c r="D24" s="343">
        <v>0.437</v>
      </c>
      <c r="E24" s="343">
        <v>0.38400000000000001</v>
      </c>
      <c r="F24" s="343">
        <f t="shared" si="4"/>
        <v>0.82099999999999995</v>
      </c>
      <c r="G24" s="172"/>
      <c r="H24" s="172"/>
      <c r="I24" s="172"/>
      <c r="J24" s="172"/>
      <c r="K24" s="172"/>
      <c r="L24" s="172"/>
      <c r="M24" s="172"/>
      <c r="N24" s="172"/>
      <c r="O24" s="172"/>
      <c r="P24" s="172"/>
      <c r="Q24" s="172"/>
      <c r="R24" s="172"/>
      <c r="S24" s="172"/>
      <c r="T24" s="172"/>
      <c r="U24" s="172"/>
      <c r="V24" s="172"/>
      <c r="W24" s="172"/>
      <c r="X24" s="172"/>
    </row>
    <row r="25" spans="1:24" outlineLevel="1" x14ac:dyDescent="0.2">
      <c r="A25" s="333" t="s">
        <v>485</v>
      </c>
      <c r="B25" s="321" t="s">
        <v>439</v>
      </c>
      <c r="C25" s="333" t="s">
        <v>477</v>
      </c>
      <c r="D25" s="343">
        <v>4.5435100000000004</v>
      </c>
      <c r="E25" s="343">
        <v>3.55145</v>
      </c>
      <c r="F25" s="343">
        <f t="shared" si="4"/>
        <v>8.0949600000000004</v>
      </c>
      <c r="G25" s="172"/>
      <c r="H25" s="172"/>
      <c r="I25" s="172"/>
      <c r="J25" s="172"/>
      <c r="K25" s="172"/>
      <c r="L25" s="172"/>
      <c r="M25" s="172"/>
      <c r="N25" s="172"/>
      <c r="O25" s="172"/>
      <c r="P25" s="172"/>
      <c r="Q25" s="172"/>
      <c r="R25" s="172"/>
      <c r="S25" s="172"/>
      <c r="T25" s="172"/>
      <c r="U25" s="172"/>
      <c r="V25" s="172"/>
      <c r="W25" s="172"/>
      <c r="X25" s="172"/>
    </row>
    <row r="26" spans="1:24" outlineLevel="1" x14ac:dyDescent="0.2">
      <c r="A26" s="333" t="s">
        <v>45</v>
      </c>
      <c r="B26" s="321" t="s">
        <v>438</v>
      </c>
      <c r="C26" s="333" t="s">
        <v>477</v>
      </c>
      <c r="D26" s="343">
        <v>178.41</v>
      </c>
      <c r="E26" s="343">
        <v>190.49067700000003</v>
      </c>
      <c r="F26" s="343">
        <f t="shared" si="4"/>
        <v>368.90067700000003</v>
      </c>
      <c r="G26" s="172"/>
      <c r="H26" s="172"/>
      <c r="I26" s="172"/>
      <c r="J26" s="172"/>
      <c r="K26" s="172"/>
      <c r="L26" s="172"/>
      <c r="M26" s="172"/>
      <c r="N26" s="172"/>
      <c r="O26" s="172"/>
      <c r="P26" s="172"/>
      <c r="Q26" s="172"/>
      <c r="R26" s="172"/>
      <c r="S26" s="172"/>
      <c r="T26" s="172"/>
      <c r="U26" s="172"/>
      <c r="V26" s="172"/>
      <c r="W26" s="172"/>
      <c r="X26" s="172"/>
    </row>
    <row r="27" spans="1:24" outlineLevel="1" x14ac:dyDescent="0.2">
      <c r="A27" s="333" t="s">
        <v>484</v>
      </c>
      <c r="B27" s="321" t="s">
        <v>437</v>
      </c>
      <c r="C27" s="333" t="s">
        <v>477</v>
      </c>
      <c r="D27" s="343">
        <v>67.313510000000008</v>
      </c>
      <c r="E27" s="343">
        <v>9.389289999999999</v>
      </c>
      <c r="F27" s="343">
        <f t="shared" si="4"/>
        <v>76.702800000000011</v>
      </c>
      <c r="G27" s="172"/>
      <c r="H27" s="172"/>
      <c r="I27" s="172"/>
      <c r="J27" s="172"/>
      <c r="K27" s="172"/>
      <c r="L27" s="172"/>
      <c r="M27" s="172"/>
      <c r="N27" s="172"/>
      <c r="O27" s="172"/>
      <c r="P27" s="172"/>
      <c r="Q27" s="172"/>
      <c r="R27" s="172"/>
      <c r="S27" s="172"/>
      <c r="T27" s="172"/>
      <c r="U27" s="172"/>
      <c r="V27" s="172"/>
      <c r="W27" s="172"/>
      <c r="X27" s="172"/>
    </row>
    <row r="28" spans="1:24" outlineLevel="1" x14ac:dyDescent="0.2">
      <c r="A28" s="333" t="s">
        <v>48</v>
      </c>
      <c r="B28" s="321" t="s">
        <v>436</v>
      </c>
      <c r="C28" s="333" t="s">
        <v>477</v>
      </c>
      <c r="D28" s="343">
        <v>139.58190999999997</v>
      </c>
      <c r="E28" s="343">
        <v>93.323089999999993</v>
      </c>
      <c r="F28" s="343">
        <f t="shared" si="4"/>
        <v>232.90499999999997</v>
      </c>
      <c r="G28" s="172"/>
      <c r="H28" s="172"/>
      <c r="I28" s="172"/>
      <c r="J28" s="172"/>
      <c r="K28" s="172"/>
      <c r="L28" s="172"/>
      <c r="M28" s="172"/>
      <c r="N28" s="172"/>
      <c r="O28" s="172"/>
      <c r="P28" s="172"/>
      <c r="Q28" s="172"/>
      <c r="R28" s="172"/>
      <c r="S28" s="172"/>
      <c r="T28" s="172"/>
      <c r="U28" s="172"/>
      <c r="V28" s="172"/>
      <c r="W28" s="172"/>
      <c r="X28" s="172"/>
    </row>
    <row r="29" spans="1:24" outlineLevel="1" x14ac:dyDescent="0.2">
      <c r="A29" s="333" t="s">
        <v>483</v>
      </c>
      <c r="B29" s="321" t="s">
        <v>435</v>
      </c>
      <c r="C29" s="333" t="s">
        <v>477</v>
      </c>
      <c r="D29" s="343">
        <v>4.8256499999999996</v>
      </c>
      <c r="E29" s="343">
        <v>6.7151000000000005</v>
      </c>
      <c r="F29" s="343">
        <f t="shared" si="4"/>
        <v>11.540749999999999</v>
      </c>
      <c r="G29" s="172"/>
      <c r="H29" s="172"/>
      <c r="I29" s="172"/>
      <c r="J29" s="172"/>
      <c r="K29" s="172"/>
      <c r="L29" s="172"/>
      <c r="M29" s="172"/>
      <c r="N29" s="172"/>
      <c r="O29" s="172"/>
      <c r="P29" s="172"/>
      <c r="Q29" s="172"/>
      <c r="R29" s="172"/>
      <c r="S29" s="172"/>
      <c r="T29" s="172"/>
      <c r="U29" s="172"/>
      <c r="V29" s="172"/>
      <c r="W29" s="172"/>
      <c r="X29" s="172"/>
    </row>
    <row r="30" spans="1:24" outlineLevel="1" x14ac:dyDescent="0.2">
      <c r="A30" s="333" t="s">
        <v>482</v>
      </c>
      <c r="B30" s="321" t="s">
        <v>434</v>
      </c>
      <c r="C30" s="333" t="s">
        <v>477</v>
      </c>
      <c r="D30" s="343">
        <v>8.584185999999999</v>
      </c>
      <c r="E30" s="343">
        <v>8.584185999999999</v>
      </c>
      <c r="F30" s="343">
        <f t="shared" si="4"/>
        <v>17.168371999999998</v>
      </c>
      <c r="G30" s="172"/>
      <c r="H30" s="172"/>
      <c r="I30" s="172"/>
      <c r="J30" s="172"/>
      <c r="K30" s="172"/>
      <c r="L30" s="172"/>
      <c r="M30" s="172"/>
      <c r="N30" s="172"/>
      <c r="O30" s="172"/>
      <c r="P30" s="172"/>
      <c r="Q30" s="172"/>
      <c r="R30" s="172"/>
      <c r="S30" s="172"/>
      <c r="T30" s="172"/>
      <c r="U30" s="172"/>
      <c r="V30" s="172"/>
      <c r="W30" s="172"/>
      <c r="X30" s="172"/>
    </row>
    <row r="31" spans="1:24" outlineLevel="1" x14ac:dyDescent="0.2">
      <c r="A31" s="333" t="s">
        <v>481</v>
      </c>
      <c r="B31" s="321" t="s">
        <v>291</v>
      </c>
      <c r="C31" s="333" t="s">
        <v>477</v>
      </c>
      <c r="D31" s="343">
        <v>91.76</v>
      </c>
      <c r="E31" s="343">
        <v>98.22</v>
      </c>
      <c r="F31" s="343">
        <f t="shared" si="4"/>
        <v>189.98000000000002</v>
      </c>
      <c r="G31" s="172"/>
      <c r="H31" s="172"/>
      <c r="I31" s="172"/>
      <c r="J31" s="172"/>
      <c r="K31" s="172"/>
      <c r="L31" s="172"/>
      <c r="M31" s="172"/>
      <c r="N31" s="172"/>
      <c r="O31" s="172"/>
      <c r="P31" s="172"/>
      <c r="Q31" s="172"/>
      <c r="R31" s="172"/>
      <c r="S31" s="172"/>
      <c r="T31" s="172"/>
      <c r="U31" s="172"/>
      <c r="V31" s="172"/>
      <c r="W31" s="172"/>
      <c r="X31" s="172"/>
    </row>
    <row r="32" spans="1:24" outlineLevel="1" x14ac:dyDescent="0.2">
      <c r="A32" s="333" t="s">
        <v>480</v>
      </c>
      <c r="B32" s="321" t="s">
        <v>433</v>
      </c>
      <c r="C32" s="333" t="s">
        <v>477</v>
      </c>
      <c r="D32" s="343">
        <v>1.71</v>
      </c>
      <c r="E32" s="343">
        <v>0.73</v>
      </c>
      <c r="F32" s="343">
        <f t="shared" si="4"/>
        <v>2.44</v>
      </c>
      <c r="G32" s="172"/>
      <c r="H32" s="172"/>
      <c r="I32" s="172"/>
      <c r="J32" s="172"/>
      <c r="K32" s="172"/>
      <c r="L32" s="172"/>
      <c r="M32" s="172"/>
      <c r="N32" s="172"/>
      <c r="O32" s="172"/>
      <c r="P32" s="172"/>
      <c r="Q32" s="172"/>
      <c r="R32" s="172"/>
      <c r="S32" s="172"/>
      <c r="T32" s="172"/>
      <c r="U32" s="172"/>
      <c r="V32" s="172"/>
      <c r="W32" s="172"/>
      <c r="X32" s="172"/>
    </row>
    <row r="33" spans="1:28" outlineLevel="1" x14ac:dyDescent="0.2">
      <c r="A33" s="333" t="s">
        <v>479</v>
      </c>
      <c r="B33" s="321" t="s">
        <v>432</v>
      </c>
      <c r="C33" s="333" t="s">
        <v>477</v>
      </c>
      <c r="D33" s="343">
        <f>-432.787212906*0.94</f>
        <v>-406.81998013163997</v>
      </c>
      <c r="E33" s="343">
        <v>0</v>
      </c>
      <c r="F33" s="343">
        <f t="shared" si="4"/>
        <v>-406.81998013163997</v>
      </c>
      <c r="G33" s="172"/>
      <c r="H33" s="172"/>
      <c r="I33" s="172"/>
      <c r="J33" s="172"/>
      <c r="K33" s="172"/>
      <c r="L33" s="172"/>
      <c r="M33" s="172"/>
      <c r="N33" s="172"/>
      <c r="O33" s="172"/>
      <c r="P33" s="172"/>
      <c r="Q33" s="172"/>
      <c r="R33" s="172"/>
      <c r="S33" s="172"/>
      <c r="T33" s="172"/>
      <c r="U33" s="172"/>
      <c r="V33" s="172"/>
      <c r="W33" s="172"/>
      <c r="X33" s="172"/>
    </row>
    <row r="34" spans="1:28" outlineLevel="1" x14ac:dyDescent="0.2">
      <c r="A34" s="333" t="s">
        <v>478</v>
      </c>
      <c r="B34" s="344" t="s">
        <v>431</v>
      </c>
      <c r="C34" s="333" t="s">
        <v>477</v>
      </c>
      <c r="D34" s="343">
        <f>SUM(D21:D33)</f>
        <v>1142.5957858683598</v>
      </c>
      <c r="E34" s="343">
        <f>SUM(E21:E33)</f>
        <v>714.38779300000022</v>
      </c>
      <c r="F34" s="343">
        <f>SUM(F21:F33)</f>
        <v>1856.9835788683599</v>
      </c>
      <c r="G34" s="172"/>
      <c r="H34" s="172"/>
      <c r="I34" s="172"/>
      <c r="J34" s="172"/>
      <c r="K34" s="172"/>
      <c r="L34" s="172"/>
      <c r="M34" s="172"/>
      <c r="N34" s="172"/>
      <c r="O34" s="172"/>
      <c r="P34" s="172"/>
      <c r="Q34" s="172"/>
      <c r="R34" s="172"/>
      <c r="S34" s="172"/>
      <c r="T34" s="172"/>
      <c r="U34" s="172"/>
      <c r="V34" s="172"/>
      <c r="W34" s="172"/>
      <c r="X34" s="172"/>
    </row>
    <row r="35" spans="1:28" outlineLevel="1" x14ac:dyDescent="0.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row>
    <row r="36" spans="1:28" s="338" customFormat="1" outlineLevel="1" x14ac:dyDescent="0.2">
      <c r="A36" s="258" t="s">
        <v>518</v>
      </c>
      <c r="C36" s="339"/>
      <c r="D36" s="339"/>
      <c r="E36" s="339"/>
      <c r="F36" s="339"/>
      <c r="G36" s="339"/>
      <c r="H36" s="339"/>
      <c r="I36" s="339"/>
      <c r="J36" s="339"/>
      <c r="K36" s="339"/>
      <c r="L36" s="339"/>
      <c r="M36" s="339"/>
      <c r="N36" s="339"/>
      <c r="O36" s="339"/>
      <c r="P36" s="339"/>
      <c r="Q36" s="339"/>
      <c r="R36" s="339"/>
      <c r="S36" s="339"/>
      <c r="T36" s="339"/>
      <c r="U36" s="339"/>
      <c r="V36" s="339"/>
      <c r="W36" s="339"/>
      <c r="X36" s="339"/>
    </row>
    <row r="37" spans="1:28" outlineLevel="1" x14ac:dyDescent="0.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row>
    <row r="38" spans="1:28" outlineLevel="1" x14ac:dyDescent="0.2">
      <c r="B38" s="182" t="s">
        <v>219</v>
      </c>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row>
    <row r="39" spans="1:28" outlineLevel="1" x14ac:dyDescent="0.2">
      <c r="B39" s="169" t="s">
        <v>476</v>
      </c>
      <c r="C39" s="311" t="s">
        <v>475</v>
      </c>
      <c r="D39" s="342">
        <v>7.4999999999999997E-3</v>
      </c>
      <c r="E39" s="172"/>
      <c r="F39" s="172"/>
      <c r="G39" s="172"/>
      <c r="H39" s="172"/>
      <c r="I39" s="172"/>
      <c r="J39" s="172"/>
      <c r="K39" s="172"/>
      <c r="L39" s="172"/>
      <c r="M39" s="172"/>
      <c r="N39" s="172"/>
      <c r="O39" s="172"/>
      <c r="P39" s="172"/>
      <c r="Q39" s="172"/>
      <c r="R39" s="172"/>
      <c r="S39" s="172"/>
      <c r="T39" s="172"/>
      <c r="U39" s="172"/>
      <c r="V39" s="172"/>
      <c r="W39" s="172"/>
      <c r="X39" s="172"/>
      <c r="Y39" s="172"/>
      <c r="Z39" s="172"/>
      <c r="AA39" s="172"/>
    </row>
    <row r="40" spans="1:28" outlineLevel="1" x14ac:dyDescent="0.2">
      <c r="B40" s="169" t="s">
        <v>474</v>
      </c>
      <c r="C40" s="311" t="s">
        <v>472</v>
      </c>
      <c r="D40" s="340">
        <v>0.17680000000000001</v>
      </c>
      <c r="E40" s="172"/>
      <c r="F40" s="341"/>
      <c r="G40" s="172"/>
      <c r="H40" s="172"/>
      <c r="I40" s="172"/>
      <c r="J40" s="172"/>
      <c r="K40" s="172"/>
      <c r="L40" s="172"/>
      <c r="M40" s="172"/>
      <c r="N40" s="172"/>
      <c r="O40" s="172"/>
      <c r="P40" s="172"/>
      <c r="Q40" s="172"/>
      <c r="R40" s="172"/>
      <c r="S40" s="172"/>
      <c r="T40" s="172"/>
      <c r="U40" s="172"/>
      <c r="V40" s="172"/>
      <c r="W40" s="172"/>
      <c r="X40" s="172"/>
      <c r="Y40" s="172"/>
      <c r="Z40" s="172"/>
      <c r="AA40" s="172"/>
    </row>
    <row r="41" spans="1:28" outlineLevel="1" x14ac:dyDescent="0.2">
      <c r="B41" s="169" t="s">
        <v>473</v>
      </c>
      <c r="C41" s="311" t="s">
        <v>472</v>
      </c>
      <c r="D41" s="340">
        <v>0.21</v>
      </c>
      <c r="E41" s="172"/>
      <c r="F41" s="172"/>
      <c r="G41" s="172"/>
      <c r="H41" s="172"/>
      <c r="I41" s="172"/>
      <c r="J41" s="172"/>
      <c r="K41" s="172"/>
      <c r="L41" s="172"/>
      <c r="M41" s="172"/>
      <c r="N41" s="172"/>
      <c r="O41" s="172"/>
      <c r="P41" s="172"/>
      <c r="Q41" s="172"/>
      <c r="R41" s="172"/>
      <c r="S41" s="172"/>
      <c r="T41" s="172"/>
      <c r="U41" s="172"/>
      <c r="V41" s="172"/>
      <c r="W41" s="172"/>
      <c r="X41" s="172"/>
      <c r="Y41" s="172"/>
      <c r="Z41" s="172"/>
      <c r="AA41" s="172"/>
    </row>
    <row r="42" spans="1:28" outlineLevel="1" x14ac:dyDescent="0.2">
      <c r="B42" s="169" t="s">
        <v>471</v>
      </c>
      <c r="C42" s="311" t="s">
        <v>465</v>
      </c>
      <c r="D42" s="340">
        <v>0.04</v>
      </c>
      <c r="E42" s="172"/>
      <c r="F42" s="172"/>
      <c r="G42" s="172"/>
      <c r="H42" s="172"/>
      <c r="I42" s="172"/>
      <c r="J42" s="172"/>
      <c r="K42" s="172"/>
      <c r="L42" s="172"/>
      <c r="M42" s="172"/>
      <c r="N42" s="172"/>
      <c r="O42" s="172"/>
      <c r="P42" s="172"/>
      <c r="Q42" s="172"/>
      <c r="R42" s="172"/>
      <c r="S42" s="172"/>
      <c r="T42" s="172"/>
      <c r="U42" s="172"/>
      <c r="V42" s="172"/>
      <c r="W42" s="172"/>
      <c r="X42" s="172"/>
      <c r="Y42" s="172"/>
      <c r="Z42" s="172"/>
      <c r="AA42" s="172"/>
    </row>
    <row r="43" spans="1:28" outlineLevel="1" x14ac:dyDescent="0.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row>
    <row r="44" spans="1:28" s="334" customFormat="1" outlineLevel="1" x14ac:dyDescent="0.2">
      <c r="A44" s="171"/>
      <c r="B44" s="335" t="s">
        <v>461</v>
      </c>
    </row>
    <row r="45" spans="1:28" s="334" customFormat="1" outlineLevel="1" x14ac:dyDescent="0.2">
      <c r="A45" s="171"/>
      <c r="B45" s="321" t="s">
        <v>470</v>
      </c>
      <c r="C45" s="333" t="s">
        <v>407</v>
      </c>
      <c r="D45" s="320">
        <v>23388.097999999998</v>
      </c>
      <c r="E45" s="320">
        <f t="shared" ref="E45:AB45" si="5">ROUND(D45*(1-$D$39),0)</f>
        <v>23213</v>
      </c>
      <c r="F45" s="320">
        <f t="shared" si="5"/>
        <v>23039</v>
      </c>
      <c r="G45" s="320">
        <f t="shared" si="5"/>
        <v>22866</v>
      </c>
      <c r="H45" s="320">
        <f t="shared" si="5"/>
        <v>22695</v>
      </c>
      <c r="I45" s="320">
        <f t="shared" si="5"/>
        <v>22525</v>
      </c>
      <c r="J45" s="320">
        <f t="shared" si="5"/>
        <v>22356</v>
      </c>
      <c r="K45" s="320">
        <f t="shared" si="5"/>
        <v>22188</v>
      </c>
      <c r="L45" s="320">
        <f t="shared" si="5"/>
        <v>22022</v>
      </c>
      <c r="M45" s="320">
        <f t="shared" si="5"/>
        <v>21857</v>
      </c>
      <c r="N45" s="320">
        <f t="shared" si="5"/>
        <v>21693</v>
      </c>
      <c r="O45" s="320">
        <f t="shared" si="5"/>
        <v>21530</v>
      </c>
      <c r="P45" s="320">
        <f t="shared" si="5"/>
        <v>21369</v>
      </c>
      <c r="Q45" s="320">
        <f t="shared" si="5"/>
        <v>21209</v>
      </c>
      <c r="R45" s="320">
        <f t="shared" si="5"/>
        <v>21050</v>
      </c>
      <c r="S45" s="320">
        <f t="shared" si="5"/>
        <v>20892</v>
      </c>
      <c r="T45" s="320">
        <f t="shared" si="5"/>
        <v>20735</v>
      </c>
      <c r="U45" s="320">
        <f t="shared" si="5"/>
        <v>20579</v>
      </c>
      <c r="V45" s="320">
        <f t="shared" si="5"/>
        <v>20425</v>
      </c>
      <c r="W45" s="320">
        <f t="shared" si="5"/>
        <v>20272</v>
      </c>
      <c r="X45" s="320">
        <f t="shared" si="5"/>
        <v>20120</v>
      </c>
      <c r="Y45" s="320">
        <f t="shared" si="5"/>
        <v>19969</v>
      </c>
      <c r="Z45" s="320">
        <f t="shared" si="5"/>
        <v>19819</v>
      </c>
      <c r="AA45" s="320">
        <f t="shared" si="5"/>
        <v>19670</v>
      </c>
      <c r="AB45" s="320">
        <f t="shared" si="5"/>
        <v>19522</v>
      </c>
    </row>
    <row r="46" spans="1:28" s="334" customFormat="1" outlineLevel="1" x14ac:dyDescent="0.2">
      <c r="A46" s="171"/>
      <c r="B46" s="321" t="s">
        <v>459</v>
      </c>
      <c r="C46" s="333" t="s">
        <v>407</v>
      </c>
      <c r="D46" s="320">
        <v>5023.0520000000033</v>
      </c>
      <c r="E46" s="320">
        <f t="shared" ref="E46:AB46" si="6">E47-E45</f>
        <v>5061.5152174619179</v>
      </c>
      <c r="F46" s="320">
        <f t="shared" si="6"/>
        <v>5099.4347316310559</v>
      </c>
      <c r="G46" s="320">
        <f t="shared" si="6"/>
        <v>5136.8411874203994</v>
      </c>
      <c r="H46" s="320">
        <f t="shared" si="6"/>
        <v>5173.9665334992496</v>
      </c>
      <c r="I46" s="320">
        <f t="shared" si="6"/>
        <v>5210.5934986044995</v>
      </c>
      <c r="J46" s="320">
        <f t="shared" si="6"/>
        <v>5246.72619517977</v>
      </c>
      <c r="K46" s="320">
        <f t="shared" si="6"/>
        <v>5282.368780745488</v>
      </c>
      <c r="L46" s="320">
        <f t="shared" si="6"/>
        <v>5317.7669337217812</v>
      </c>
      <c r="M46" s="320">
        <f t="shared" si="6"/>
        <v>5352.6902698934391</v>
      </c>
      <c r="N46" s="320">
        <f t="shared" si="6"/>
        <v>5387.1431424766997</v>
      </c>
      <c r="O46" s="320">
        <f t="shared" si="6"/>
        <v>5421.1299529325406</v>
      </c>
      <c r="P46" s="320">
        <f t="shared" si="6"/>
        <v>5454.910423779882</v>
      </c>
      <c r="Q46" s="320">
        <f t="shared" si="6"/>
        <v>5488.2407774160019</v>
      </c>
      <c r="R46" s="320">
        <f t="shared" si="6"/>
        <v>5521.12562272789</v>
      </c>
      <c r="S46" s="320">
        <f t="shared" si="6"/>
        <v>5553.5696202531617</v>
      </c>
      <c r="T46" s="320">
        <f t="shared" si="6"/>
        <v>5511.8354430379732</v>
      </c>
      <c r="U46" s="320">
        <f t="shared" si="6"/>
        <v>5470.3670886075924</v>
      </c>
      <c r="V46" s="320">
        <f t="shared" si="6"/>
        <v>5429.4303797468347</v>
      </c>
      <c r="W46" s="320">
        <f t="shared" si="6"/>
        <v>5388.7594936708847</v>
      </c>
      <c r="X46" s="320">
        <f t="shared" si="6"/>
        <v>5348.3544303797462</v>
      </c>
      <c r="Y46" s="320">
        <f t="shared" si="6"/>
        <v>5308.2151898734155</v>
      </c>
      <c r="Z46" s="320">
        <f t="shared" si="6"/>
        <v>5268.3417721518963</v>
      </c>
      <c r="AA46" s="320">
        <f t="shared" si="6"/>
        <v>5228.7341772151885</v>
      </c>
      <c r="AB46" s="320">
        <f t="shared" si="6"/>
        <v>5189.3924050632886</v>
      </c>
    </row>
    <row r="47" spans="1:28" s="334" customFormat="1" outlineLevel="1" x14ac:dyDescent="0.2">
      <c r="A47" s="171"/>
      <c r="B47" s="321" t="s">
        <v>458</v>
      </c>
      <c r="C47" s="333" t="s">
        <v>407</v>
      </c>
      <c r="D47" s="320">
        <v>28411.15</v>
      </c>
      <c r="E47" s="320">
        <f t="shared" ref="E47:AB47" si="7">E45/(1-E48)</f>
        <v>28274.515217461918</v>
      </c>
      <c r="F47" s="320">
        <f t="shared" si="7"/>
        <v>28138.434731631056</v>
      </c>
      <c r="G47" s="320">
        <f t="shared" si="7"/>
        <v>28002.841187420399</v>
      </c>
      <c r="H47" s="320">
        <f t="shared" si="7"/>
        <v>27868.96653349925</v>
      </c>
      <c r="I47" s="320">
        <f t="shared" si="7"/>
        <v>27735.593498604499</v>
      </c>
      <c r="J47" s="320">
        <f t="shared" si="7"/>
        <v>27602.72619517977</v>
      </c>
      <c r="K47" s="320">
        <f t="shared" si="7"/>
        <v>27470.368780745488</v>
      </c>
      <c r="L47" s="320">
        <f t="shared" si="7"/>
        <v>27339.766933721781</v>
      </c>
      <c r="M47" s="320">
        <f t="shared" si="7"/>
        <v>27209.690269893439</v>
      </c>
      <c r="N47" s="320">
        <f t="shared" si="7"/>
        <v>27080.1431424767</v>
      </c>
      <c r="O47" s="320">
        <f t="shared" si="7"/>
        <v>26951.129952932541</v>
      </c>
      <c r="P47" s="320">
        <f t="shared" si="7"/>
        <v>26823.910423779882</v>
      </c>
      <c r="Q47" s="320">
        <f t="shared" si="7"/>
        <v>26697.240777416002</v>
      </c>
      <c r="R47" s="320">
        <f t="shared" si="7"/>
        <v>26571.12562272789</v>
      </c>
      <c r="S47" s="320">
        <f t="shared" si="7"/>
        <v>26445.569620253162</v>
      </c>
      <c r="T47" s="320">
        <f t="shared" si="7"/>
        <v>26246.835443037973</v>
      </c>
      <c r="U47" s="320">
        <f t="shared" si="7"/>
        <v>26049.367088607592</v>
      </c>
      <c r="V47" s="320">
        <f t="shared" si="7"/>
        <v>25854.430379746835</v>
      </c>
      <c r="W47" s="320">
        <f t="shared" si="7"/>
        <v>25660.759493670885</v>
      </c>
      <c r="X47" s="320">
        <f t="shared" si="7"/>
        <v>25468.354430379746</v>
      </c>
      <c r="Y47" s="320">
        <f t="shared" si="7"/>
        <v>25277.215189873416</v>
      </c>
      <c r="Z47" s="320">
        <f t="shared" si="7"/>
        <v>25087.341772151896</v>
      </c>
      <c r="AA47" s="320">
        <f t="shared" si="7"/>
        <v>24898.734177215189</v>
      </c>
      <c r="AB47" s="320">
        <f t="shared" si="7"/>
        <v>24711.392405063289</v>
      </c>
    </row>
    <row r="48" spans="1:28" outlineLevel="1" x14ac:dyDescent="0.2">
      <c r="C48" s="172"/>
      <c r="D48" s="326">
        <f>D40</f>
        <v>0.17680000000000001</v>
      </c>
      <c r="E48" s="326">
        <f t="shared" ref="E48:R48" si="8">D48+($S$48-$D$48)/15</f>
        <v>0.17901333333333336</v>
      </c>
      <c r="F48" s="326">
        <f t="shared" si="8"/>
        <v>0.1812266666666667</v>
      </c>
      <c r="G48" s="326">
        <f t="shared" si="8"/>
        <v>0.18344000000000005</v>
      </c>
      <c r="H48" s="326">
        <f t="shared" si="8"/>
        <v>0.18565333333333339</v>
      </c>
      <c r="I48" s="326">
        <f t="shared" si="8"/>
        <v>0.18786666666666674</v>
      </c>
      <c r="J48" s="326">
        <f t="shared" si="8"/>
        <v>0.19008000000000008</v>
      </c>
      <c r="K48" s="326">
        <f t="shared" si="8"/>
        <v>0.19229333333333343</v>
      </c>
      <c r="L48" s="326">
        <f t="shared" si="8"/>
        <v>0.19450666666666677</v>
      </c>
      <c r="M48" s="326">
        <f t="shared" si="8"/>
        <v>0.19672000000000012</v>
      </c>
      <c r="N48" s="326">
        <f t="shared" si="8"/>
        <v>0.19893333333333346</v>
      </c>
      <c r="O48" s="326">
        <f t="shared" si="8"/>
        <v>0.20114666666666681</v>
      </c>
      <c r="P48" s="326">
        <f t="shared" si="8"/>
        <v>0.20336000000000015</v>
      </c>
      <c r="Q48" s="326">
        <f t="shared" si="8"/>
        <v>0.2055733333333335</v>
      </c>
      <c r="R48" s="326">
        <f t="shared" si="8"/>
        <v>0.20778666666666684</v>
      </c>
      <c r="S48" s="326">
        <f>D41</f>
        <v>0.21</v>
      </c>
      <c r="T48" s="326">
        <f t="shared" ref="T48:AB48" si="9">S48</f>
        <v>0.21</v>
      </c>
      <c r="U48" s="326">
        <f t="shared" si="9"/>
        <v>0.21</v>
      </c>
      <c r="V48" s="326">
        <f t="shared" si="9"/>
        <v>0.21</v>
      </c>
      <c r="W48" s="326">
        <f t="shared" si="9"/>
        <v>0.21</v>
      </c>
      <c r="X48" s="326">
        <f t="shared" si="9"/>
        <v>0.21</v>
      </c>
      <c r="Y48" s="326">
        <f t="shared" si="9"/>
        <v>0.21</v>
      </c>
      <c r="Z48" s="326">
        <f t="shared" si="9"/>
        <v>0.21</v>
      </c>
      <c r="AA48" s="326">
        <f t="shared" si="9"/>
        <v>0.21</v>
      </c>
      <c r="AB48" s="326">
        <f t="shared" si="9"/>
        <v>0.21</v>
      </c>
    </row>
    <row r="49" spans="2:28" outlineLevel="1" x14ac:dyDescent="0.2">
      <c r="B49" s="182" t="s">
        <v>287</v>
      </c>
      <c r="C49" s="172"/>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row>
    <row r="50" spans="2:28" outlineLevel="1" x14ac:dyDescent="0.2">
      <c r="B50" s="169" t="s">
        <v>455</v>
      </c>
      <c r="C50" s="311" t="s">
        <v>451</v>
      </c>
      <c r="D50" s="324">
        <v>12.5</v>
      </c>
      <c r="E50" s="324">
        <f t="shared" ref="E50:AB50" si="10">D50</f>
        <v>12.5</v>
      </c>
      <c r="F50" s="324">
        <f t="shared" si="10"/>
        <v>12.5</v>
      </c>
      <c r="G50" s="324">
        <f t="shared" si="10"/>
        <v>12.5</v>
      </c>
      <c r="H50" s="324">
        <f t="shared" si="10"/>
        <v>12.5</v>
      </c>
      <c r="I50" s="324">
        <f t="shared" si="10"/>
        <v>12.5</v>
      </c>
      <c r="J50" s="324">
        <f t="shared" si="10"/>
        <v>12.5</v>
      </c>
      <c r="K50" s="324">
        <f t="shared" si="10"/>
        <v>12.5</v>
      </c>
      <c r="L50" s="324">
        <f t="shared" si="10"/>
        <v>12.5</v>
      </c>
      <c r="M50" s="324">
        <f t="shared" si="10"/>
        <v>12.5</v>
      </c>
      <c r="N50" s="324">
        <f t="shared" si="10"/>
        <v>12.5</v>
      </c>
      <c r="O50" s="324">
        <f t="shared" si="10"/>
        <v>12.5</v>
      </c>
      <c r="P50" s="324">
        <f t="shared" si="10"/>
        <v>12.5</v>
      </c>
      <c r="Q50" s="324">
        <f t="shared" si="10"/>
        <v>12.5</v>
      </c>
      <c r="R50" s="324">
        <f t="shared" si="10"/>
        <v>12.5</v>
      </c>
      <c r="S50" s="324">
        <f t="shared" si="10"/>
        <v>12.5</v>
      </c>
      <c r="T50" s="324">
        <f t="shared" si="10"/>
        <v>12.5</v>
      </c>
      <c r="U50" s="324">
        <f t="shared" si="10"/>
        <v>12.5</v>
      </c>
      <c r="V50" s="324">
        <f t="shared" si="10"/>
        <v>12.5</v>
      </c>
      <c r="W50" s="324">
        <f t="shared" si="10"/>
        <v>12.5</v>
      </c>
      <c r="X50" s="324">
        <f t="shared" si="10"/>
        <v>12.5</v>
      </c>
      <c r="Y50" s="324">
        <f t="shared" si="10"/>
        <v>12.5</v>
      </c>
      <c r="Z50" s="324">
        <f t="shared" si="10"/>
        <v>12.5</v>
      </c>
      <c r="AA50" s="324">
        <f t="shared" si="10"/>
        <v>12.5</v>
      </c>
      <c r="AB50" s="324">
        <f t="shared" si="10"/>
        <v>12.5</v>
      </c>
    </row>
    <row r="51" spans="2:28" outlineLevel="1" x14ac:dyDescent="0.2">
      <c r="B51" s="169" t="s">
        <v>454</v>
      </c>
      <c r="C51" s="311" t="s">
        <v>451</v>
      </c>
      <c r="D51" s="324">
        <v>0</v>
      </c>
      <c r="E51" s="324">
        <v>0</v>
      </c>
      <c r="F51" s="324">
        <v>0</v>
      </c>
      <c r="G51" s="324">
        <v>40</v>
      </c>
      <c r="H51" s="324">
        <v>0</v>
      </c>
      <c r="I51" s="324">
        <v>0</v>
      </c>
      <c r="J51" s="324">
        <v>0</v>
      </c>
      <c r="K51" s="324">
        <v>0</v>
      </c>
      <c r="L51" s="324">
        <v>0</v>
      </c>
      <c r="M51" s="324">
        <v>0</v>
      </c>
      <c r="N51" s="324">
        <v>0</v>
      </c>
      <c r="O51" s="324">
        <v>200</v>
      </c>
      <c r="P51" s="324">
        <v>0</v>
      </c>
      <c r="Q51" s="324">
        <v>0</v>
      </c>
      <c r="R51" s="324">
        <v>0</v>
      </c>
      <c r="S51" s="324">
        <v>0</v>
      </c>
      <c r="T51" s="324">
        <v>300</v>
      </c>
      <c r="U51" s="324">
        <v>0</v>
      </c>
      <c r="V51" s="324">
        <v>0</v>
      </c>
      <c r="W51" s="324">
        <v>0</v>
      </c>
      <c r="X51" s="324">
        <v>0</v>
      </c>
      <c r="Y51" s="324">
        <v>0</v>
      </c>
      <c r="Z51" s="324">
        <v>300</v>
      </c>
      <c r="AA51" s="324">
        <v>0</v>
      </c>
      <c r="AB51" s="324">
        <v>0</v>
      </c>
    </row>
    <row r="52" spans="2:28" outlineLevel="1" x14ac:dyDescent="0.2">
      <c r="B52" s="169" t="s">
        <v>453</v>
      </c>
      <c r="C52" s="311" t="s">
        <v>451</v>
      </c>
      <c r="D52" s="323">
        <f>D50</f>
        <v>12.5</v>
      </c>
      <c r="E52" s="323">
        <f t="shared" ref="E52:AB52" si="11">E50*(1-$D$7)+E50*$D$7*(1+E$6)</f>
        <v>12.608000000000001</v>
      </c>
      <c r="F52" s="323">
        <f t="shared" si="11"/>
        <v>12.719456000000001</v>
      </c>
      <c r="G52" s="323">
        <f t="shared" si="11"/>
        <v>12.805722943999999</v>
      </c>
      <c r="H52" s="323">
        <f t="shared" si="11"/>
        <v>12.894060294656001</v>
      </c>
      <c r="I52" s="323">
        <f t="shared" si="11"/>
        <v>12.973210560843775</v>
      </c>
      <c r="J52" s="323">
        <f t="shared" si="11"/>
        <v>13.054022982621495</v>
      </c>
      <c r="K52" s="323">
        <f t="shared" si="11"/>
        <v>13.136532465256547</v>
      </c>
      <c r="L52" s="323">
        <f t="shared" si="11"/>
        <v>13.220774647026932</v>
      </c>
      <c r="M52" s="323">
        <f t="shared" si="11"/>
        <v>13.306785914614498</v>
      </c>
      <c r="N52" s="323">
        <f t="shared" si="11"/>
        <v>13.394603418821402</v>
      </c>
      <c r="O52" s="323">
        <f t="shared" si="11"/>
        <v>13.484265090616651</v>
      </c>
      <c r="P52" s="323">
        <f t="shared" si="11"/>
        <v>13.575809657519599</v>
      </c>
      <c r="Q52" s="323">
        <f t="shared" si="11"/>
        <v>13.669276660327512</v>
      </c>
      <c r="R52" s="323">
        <f t="shared" si="11"/>
        <v>13.76470647019439</v>
      </c>
      <c r="S52" s="323">
        <f t="shared" si="11"/>
        <v>13.862140306068472</v>
      </c>
      <c r="T52" s="323">
        <f t="shared" si="11"/>
        <v>13.961620252495909</v>
      </c>
      <c r="U52" s="323">
        <f t="shared" si="11"/>
        <v>14.063189277798323</v>
      </c>
      <c r="V52" s="323">
        <f t="shared" si="11"/>
        <v>14.166891252632087</v>
      </c>
      <c r="W52" s="323">
        <f t="shared" si="11"/>
        <v>14.272770968937358</v>
      </c>
      <c r="X52" s="323">
        <f t="shared" si="11"/>
        <v>14.380874159285042</v>
      </c>
      <c r="Y52" s="323">
        <f t="shared" si="11"/>
        <v>14.491247516630029</v>
      </c>
      <c r="Z52" s="323">
        <f t="shared" si="11"/>
        <v>14.603938714479259</v>
      </c>
      <c r="AA52" s="323">
        <f t="shared" si="11"/>
        <v>14.718996427483322</v>
      </c>
      <c r="AB52" s="323">
        <f t="shared" si="11"/>
        <v>14.836470352460474</v>
      </c>
    </row>
    <row r="53" spans="2:28" outlineLevel="1" x14ac:dyDescent="0.2">
      <c r="B53" s="169" t="s">
        <v>452</v>
      </c>
      <c r="C53" s="311" t="s">
        <v>451</v>
      </c>
      <c r="D53" s="323">
        <f>D51*(1-$D$7)+D51*$D$7*(1+D$6)</f>
        <v>0</v>
      </c>
      <c r="E53" s="323">
        <f t="shared" ref="E53:AB53" si="12">E51*(1-$D$7)+E51*$D$7*(1+E$6)</f>
        <v>0</v>
      </c>
      <c r="F53" s="323">
        <f t="shared" si="12"/>
        <v>0</v>
      </c>
      <c r="G53" s="323">
        <f t="shared" si="12"/>
        <v>40.978313420799999</v>
      </c>
      <c r="H53" s="323">
        <f t="shared" si="12"/>
        <v>0</v>
      </c>
      <c r="I53" s="323">
        <f t="shared" si="12"/>
        <v>0</v>
      </c>
      <c r="J53" s="323">
        <f t="shared" si="12"/>
        <v>0</v>
      </c>
      <c r="K53" s="323">
        <f t="shared" si="12"/>
        <v>0</v>
      </c>
      <c r="L53" s="323">
        <f t="shared" si="12"/>
        <v>0</v>
      </c>
      <c r="M53" s="323">
        <f t="shared" si="12"/>
        <v>0</v>
      </c>
      <c r="N53" s="323">
        <f t="shared" si="12"/>
        <v>0</v>
      </c>
      <c r="O53" s="323">
        <f t="shared" si="12"/>
        <v>215.74824144986641</v>
      </c>
      <c r="P53" s="323">
        <f t="shared" si="12"/>
        <v>0</v>
      </c>
      <c r="Q53" s="323">
        <f t="shared" si="12"/>
        <v>0</v>
      </c>
      <c r="R53" s="323">
        <f t="shared" si="12"/>
        <v>0</v>
      </c>
      <c r="S53" s="323">
        <f t="shared" si="12"/>
        <v>0</v>
      </c>
      <c r="T53" s="323">
        <f t="shared" si="12"/>
        <v>335.07888605990183</v>
      </c>
      <c r="U53" s="323">
        <f t="shared" si="12"/>
        <v>0</v>
      </c>
      <c r="V53" s="323">
        <f t="shared" si="12"/>
        <v>0</v>
      </c>
      <c r="W53" s="323">
        <f t="shared" si="12"/>
        <v>0</v>
      </c>
      <c r="X53" s="323">
        <f t="shared" si="12"/>
        <v>0</v>
      </c>
      <c r="Y53" s="323">
        <f t="shared" si="12"/>
        <v>0</v>
      </c>
      <c r="Z53" s="323">
        <f t="shared" si="12"/>
        <v>350.49452914750219</v>
      </c>
      <c r="AA53" s="323">
        <f t="shared" si="12"/>
        <v>0</v>
      </c>
      <c r="AB53" s="323">
        <f t="shared" si="12"/>
        <v>0</v>
      </c>
    </row>
    <row r="54" spans="2:28" outlineLevel="1" x14ac:dyDescent="0.2">
      <c r="B54" s="169" t="s">
        <v>450</v>
      </c>
      <c r="C54" s="311" t="s">
        <v>448</v>
      </c>
      <c r="D54" s="323">
        <f>D52</f>
        <v>12.5</v>
      </c>
      <c r="E54" s="323">
        <f t="shared" ref="E54:AB54" si="13">E52+D54</f>
        <v>25.108000000000001</v>
      </c>
      <c r="F54" s="323">
        <f t="shared" si="13"/>
        <v>37.827455999999998</v>
      </c>
      <c r="G54" s="323">
        <f t="shared" si="13"/>
        <v>50.633178943999994</v>
      </c>
      <c r="H54" s="323">
        <f t="shared" si="13"/>
        <v>63.527239238655994</v>
      </c>
      <c r="I54" s="323">
        <f t="shared" si="13"/>
        <v>76.500449799499762</v>
      </c>
      <c r="J54" s="323">
        <f t="shared" si="13"/>
        <v>89.554472782121252</v>
      </c>
      <c r="K54" s="323">
        <f t="shared" si="13"/>
        <v>102.6910052473778</v>
      </c>
      <c r="L54" s="323">
        <f t="shared" si="13"/>
        <v>115.91177989440473</v>
      </c>
      <c r="M54" s="323">
        <f t="shared" si="13"/>
        <v>129.21856580901922</v>
      </c>
      <c r="N54" s="323">
        <f t="shared" si="13"/>
        <v>142.61316922784061</v>
      </c>
      <c r="O54" s="323">
        <f t="shared" si="13"/>
        <v>156.09743431845726</v>
      </c>
      <c r="P54" s="323">
        <f t="shared" si="13"/>
        <v>169.67324397597685</v>
      </c>
      <c r="Q54" s="323">
        <f t="shared" si="13"/>
        <v>183.34252063630436</v>
      </c>
      <c r="R54" s="323">
        <f t="shared" si="13"/>
        <v>197.10722710649875</v>
      </c>
      <c r="S54" s="323">
        <f t="shared" si="13"/>
        <v>210.96936741256724</v>
      </c>
      <c r="T54" s="323">
        <f t="shared" si="13"/>
        <v>224.93098766506316</v>
      </c>
      <c r="U54" s="323">
        <f t="shared" si="13"/>
        <v>238.99417694286149</v>
      </c>
      <c r="V54" s="323">
        <f t="shared" si="13"/>
        <v>253.16106819549358</v>
      </c>
      <c r="W54" s="323">
        <f t="shared" si="13"/>
        <v>267.43383916443094</v>
      </c>
      <c r="X54" s="323">
        <f t="shared" si="13"/>
        <v>281.81471332371598</v>
      </c>
      <c r="Y54" s="323">
        <f t="shared" si="13"/>
        <v>296.30596084034602</v>
      </c>
      <c r="Z54" s="323">
        <f t="shared" si="13"/>
        <v>310.9098995548253</v>
      </c>
      <c r="AA54" s="323">
        <f t="shared" si="13"/>
        <v>325.62889598230862</v>
      </c>
      <c r="AB54" s="323">
        <f t="shared" si="13"/>
        <v>340.4653663347691</v>
      </c>
    </row>
    <row r="55" spans="2:28" outlineLevel="1" x14ac:dyDescent="0.2">
      <c r="B55" s="169" t="s">
        <v>449</v>
      </c>
      <c r="C55" s="311" t="s">
        <v>448</v>
      </c>
      <c r="D55" s="323">
        <f>D53</f>
        <v>0</v>
      </c>
      <c r="E55" s="323">
        <f t="shared" ref="E55:Z55" si="14">D55+E53</f>
        <v>0</v>
      </c>
      <c r="F55" s="323">
        <f t="shared" si="14"/>
        <v>0</v>
      </c>
      <c r="G55" s="323">
        <f t="shared" si="14"/>
        <v>40.978313420799999</v>
      </c>
      <c r="H55" s="323">
        <f t="shared" si="14"/>
        <v>40.978313420799999</v>
      </c>
      <c r="I55" s="323">
        <f t="shared" si="14"/>
        <v>40.978313420799999</v>
      </c>
      <c r="J55" s="323">
        <f t="shared" si="14"/>
        <v>40.978313420799999</v>
      </c>
      <c r="K55" s="323">
        <f t="shared" si="14"/>
        <v>40.978313420799999</v>
      </c>
      <c r="L55" s="323">
        <f t="shared" si="14"/>
        <v>40.978313420799999</v>
      </c>
      <c r="M55" s="323">
        <f t="shared" si="14"/>
        <v>40.978313420799999</v>
      </c>
      <c r="N55" s="323">
        <f t="shared" si="14"/>
        <v>40.978313420799999</v>
      </c>
      <c r="O55" s="323">
        <f t="shared" si="14"/>
        <v>256.7265548706664</v>
      </c>
      <c r="P55" s="323">
        <f t="shared" si="14"/>
        <v>256.7265548706664</v>
      </c>
      <c r="Q55" s="323">
        <f t="shared" si="14"/>
        <v>256.7265548706664</v>
      </c>
      <c r="R55" s="323">
        <f t="shared" si="14"/>
        <v>256.7265548706664</v>
      </c>
      <c r="S55" s="323">
        <f t="shared" si="14"/>
        <v>256.7265548706664</v>
      </c>
      <c r="T55" s="323">
        <f t="shared" si="14"/>
        <v>591.80544093056824</v>
      </c>
      <c r="U55" s="323">
        <f t="shared" si="14"/>
        <v>591.80544093056824</v>
      </c>
      <c r="V55" s="323">
        <f t="shared" si="14"/>
        <v>591.80544093056824</v>
      </c>
      <c r="W55" s="323">
        <f t="shared" si="14"/>
        <v>591.80544093056824</v>
      </c>
      <c r="X55" s="323">
        <f t="shared" si="14"/>
        <v>591.80544093056824</v>
      </c>
      <c r="Y55" s="323">
        <f t="shared" si="14"/>
        <v>591.80544093056824</v>
      </c>
      <c r="Z55" s="323">
        <f t="shared" si="14"/>
        <v>942.29997007807037</v>
      </c>
      <c r="AA55" s="323">
        <f>Z55+AA53-G55</f>
        <v>901.32165665727041</v>
      </c>
      <c r="AB55" s="323">
        <f>AA55+AB53</f>
        <v>901.32165665727041</v>
      </c>
    </row>
    <row r="56" spans="2:28" outlineLevel="1" x14ac:dyDescent="0.2">
      <c r="B56" s="169" t="s">
        <v>447</v>
      </c>
      <c r="C56" s="311" t="s">
        <v>445</v>
      </c>
      <c r="D56" s="323">
        <f t="shared" ref="D56:AB56" si="15">D54/40</f>
        <v>0.3125</v>
      </c>
      <c r="E56" s="323">
        <f t="shared" si="15"/>
        <v>0.62770000000000004</v>
      </c>
      <c r="F56" s="323">
        <f t="shared" si="15"/>
        <v>0.94568639999999993</v>
      </c>
      <c r="G56" s="323">
        <f t="shared" si="15"/>
        <v>1.2658294735999998</v>
      </c>
      <c r="H56" s="323">
        <f t="shared" si="15"/>
        <v>1.5881809809663998</v>
      </c>
      <c r="I56" s="323">
        <f t="shared" si="15"/>
        <v>1.9125112449874941</v>
      </c>
      <c r="J56" s="323">
        <f t="shared" si="15"/>
        <v>2.2388618195530312</v>
      </c>
      <c r="K56" s="323">
        <f t="shared" si="15"/>
        <v>2.5672751311844451</v>
      </c>
      <c r="L56" s="323">
        <f t="shared" si="15"/>
        <v>2.8977944973601182</v>
      </c>
      <c r="M56" s="323">
        <f t="shared" si="15"/>
        <v>3.2304641452254805</v>
      </c>
      <c r="N56" s="323">
        <f t="shared" si="15"/>
        <v>3.5653292306960154</v>
      </c>
      <c r="O56" s="323">
        <f t="shared" si="15"/>
        <v>3.9024358579614313</v>
      </c>
      <c r="P56" s="323">
        <f t="shared" si="15"/>
        <v>4.2418310993994215</v>
      </c>
      <c r="Q56" s="323">
        <f t="shared" si="15"/>
        <v>4.5835630159076093</v>
      </c>
      <c r="R56" s="323">
        <f t="shared" si="15"/>
        <v>4.9276806776624689</v>
      </c>
      <c r="S56" s="323">
        <f t="shared" si="15"/>
        <v>5.2742341853141808</v>
      </c>
      <c r="T56" s="323">
        <f t="shared" si="15"/>
        <v>5.6232746916265786</v>
      </c>
      <c r="U56" s="323">
        <f t="shared" si="15"/>
        <v>5.9748544235715375</v>
      </c>
      <c r="V56" s="323">
        <f t="shared" si="15"/>
        <v>6.3290267048873394</v>
      </c>
      <c r="W56" s="323">
        <f t="shared" si="15"/>
        <v>6.6858459791107734</v>
      </c>
      <c r="X56" s="323">
        <f t="shared" si="15"/>
        <v>7.0453678330928993</v>
      </c>
      <c r="Y56" s="323">
        <f t="shared" si="15"/>
        <v>7.4076490210086501</v>
      </c>
      <c r="Z56" s="323">
        <f t="shared" si="15"/>
        <v>7.7727474888706327</v>
      </c>
      <c r="AA56" s="323">
        <f t="shared" si="15"/>
        <v>8.1407223995577151</v>
      </c>
      <c r="AB56" s="323">
        <f t="shared" si="15"/>
        <v>8.5116341583692279</v>
      </c>
    </row>
    <row r="57" spans="2:28" outlineLevel="1" x14ac:dyDescent="0.2">
      <c r="B57" s="169" t="s">
        <v>446</v>
      </c>
      <c r="C57" s="311" t="s">
        <v>445</v>
      </c>
      <c r="D57" s="323">
        <f t="shared" ref="D57:AB57" si="16">D55/20</f>
        <v>0</v>
      </c>
      <c r="E57" s="323">
        <f t="shared" si="16"/>
        <v>0</v>
      </c>
      <c r="F57" s="323">
        <f t="shared" si="16"/>
        <v>0</v>
      </c>
      <c r="G57" s="323">
        <f t="shared" si="16"/>
        <v>2.0489156710400001</v>
      </c>
      <c r="H57" s="323">
        <f t="shared" si="16"/>
        <v>2.0489156710400001</v>
      </c>
      <c r="I57" s="323">
        <f t="shared" si="16"/>
        <v>2.0489156710400001</v>
      </c>
      <c r="J57" s="323">
        <f t="shared" si="16"/>
        <v>2.0489156710400001</v>
      </c>
      <c r="K57" s="323">
        <f t="shared" si="16"/>
        <v>2.0489156710400001</v>
      </c>
      <c r="L57" s="323">
        <f t="shared" si="16"/>
        <v>2.0489156710400001</v>
      </c>
      <c r="M57" s="323">
        <f t="shared" si="16"/>
        <v>2.0489156710400001</v>
      </c>
      <c r="N57" s="323">
        <f t="shared" si="16"/>
        <v>2.0489156710400001</v>
      </c>
      <c r="O57" s="323">
        <f t="shared" si="16"/>
        <v>12.836327743533321</v>
      </c>
      <c r="P57" s="323">
        <f t="shared" si="16"/>
        <v>12.836327743533321</v>
      </c>
      <c r="Q57" s="323">
        <f t="shared" si="16"/>
        <v>12.836327743533321</v>
      </c>
      <c r="R57" s="323">
        <f t="shared" si="16"/>
        <v>12.836327743533321</v>
      </c>
      <c r="S57" s="323">
        <f t="shared" si="16"/>
        <v>12.836327743533321</v>
      </c>
      <c r="T57" s="323">
        <f t="shared" si="16"/>
        <v>29.590272046528412</v>
      </c>
      <c r="U57" s="323">
        <f t="shared" si="16"/>
        <v>29.590272046528412</v>
      </c>
      <c r="V57" s="323">
        <f t="shared" si="16"/>
        <v>29.590272046528412</v>
      </c>
      <c r="W57" s="323">
        <f t="shared" si="16"/>
        <v>29.590272046528412</v>
      </c>
      <c r="X57" s="323">
        <f t="shared" si="16"/>
        <v>29.590272046528412</v>
      </c>
      <c r="Y57" s="323">
        <f t="shared" si="16"/>
        <v>29.590272046528412</v>
      </c>
      <c r="Z57" s="323">
        <f t="shared" si="16"/>
        <v>47.114998503903522</v>
      </c>
      <c r="AA57" s="323">
        <f t="shared" si="16"/>
        <v>45.066082832863522</v>
      </c>
      <c r="AB57" s="323">
        <f t="shared" si="16"/>
        <v>45.066082832863522</v>
      </c>
    </row>
    <row r="58" spans="2:28" outlineLevel="1" x14ac:dyDescent="0.2">
      <c r="B58" s="169" t="s">
        <v>469</v>
      </c>
      <c r="C58" s="170" t="s">
        <v>429</v>
      </c>
      <c r="D58" s="322">
        <f t="shared" ref="D58:AB58" si="17">(D56+D57)*1000</f>
        <v>312.5</v>
      </c>
      <c r="E58" s="322">
        <f t="shared" si="17"/>
        <v>627.70000000000005</v>
      </c>
      <c r="F58" s="322">
        <f t="shared" si="17"/>
        <v>945.68639999999994</v>
      </c>
      <c r="G58" s="322">
        <f t="shared" si="17"/>
        <v>3314.74514464</v>
      </c>
      <c r="H58" s="322">
        <f t="shared" si="17"/>
        <v>3637.0966520063998</v>
      </c>
      <c r="I58" s="322">
        <f t="shared" si="17"/>
        <v>3961.4269160274944</v>
      </c>
      <c r="J58" s="322">
        <f t="shared" si="17"/>
        <v>4287.777490593031</v>
      </c>
      <c r="K58" s="322">
        <f t="shared" si="17"/>
        <v>4616.1908022244443</v>
      </c>
      <c r="L58" s="322">
        <f t="shared" si="17"/>
        <v>4946.7101684001182</v>
      </c>
      <c r="M58" s="322">
        <f t="shared" si="17"/>
        <v>5279.3798162654803</v>
      </c>
      <c r="N58" s="322">
        <f t="shared" si="17"/>
        <v>5614.244901736015</v>
      </c>
      <c r="O58" s="322">
        <f t="shared" si="17"/>
        <v>16738.763601494753</v>
      </c>
      <c r="P58" s="322">
        <f t="shared" si="17"/>
        <v>17078.158842932746</v>
      </c>
      <c r="Q58" s="322">
        <f t="shared" si="17"/>
        <v>17419.890759440932</v>
      </c>
      <c r="R58" s="322">
        <f t="shared" si="17"/>
        <v>17764.008421195791</v>
      </c>
      <c r="S58" s="322">
        <f t="shared" si="17"/>
        <v>18110.561928847503</v>
      </c>
      <c r="T58" s="322">
        <f t="shared" si="17"/>
        <v>35213.54673815499</v>
      </c>
      <c r="U58" s="322">
        <f t="shared" si="17"/>
        <v>35565.126470099945</v>
      </c>
      <c r="V58" s="322">
        <f t="shared" si="17"/>
        <v>35919.29875141575</v>
      </c>
      <c r="W58" s="322">
        <f t="shared" si="17"/>
        <v>36276.118025639182</v>
      </c>
      <c r="X58" s="322">
        <f t="shared" si="17"/>
        <v>36635.639879621311</v>
      </c>
      <c r="Y58" s="322">
        <f t="shared" si="17"/>
        <v>36997.921067537063</v>
      </c>
      <c r="Z58" s="322">
        <f t="shared" si="17"/>
        <v>54887.745992774158</v>
      </c>
      <c r="AA58" s="322">
        <f t="shared" si="17"/>
        <v>53206.80523242124</v>
      </c>
      <c r="AB58" s="322">
        <f t="shared" si="17"/>
        <v>53577.716991232744</v>
      </c>
    </row>
    <row r="59" spans="2:28" outlineLevel="1" x14ac:dyDescent="0.2">
      <c r="C59" s="172"/>
    </row>
    <row r="60" spans="2:28" outlineLevel="1" x14ac:dyDescent="0.2">
      <c r="B60" s="182" t="s">
        <v>443</v>
      </c>
      <c r="C60" s="172"/>
    </row>
    <row r="61" spans="2:28" outlineLevel="1" x14ac:dyDescent="0.2">
      <c r="B61" s="321" t="s">
        <v>442</v>
      </c>
      <c r="C61" s="311" t="s">
        <v>429</v>
      </c>
      <c r="D61" s="320">
        <f t="shared" ref="D61:D73" si="18">F21*1000</f>
        <v>1311569</v>
      </c>
      <c r="E61" s="320">
        <f t="shared" ref="E61:AB61" si="19">E47/D47*D61</f>
        <v>1305261.407906801</v>
      </c>
      <c r="F61" s="320">
        <f t="shared" si="19"/>
        <v>1298979.4043018536</v>
      </c>
      <c r="G61" s="320">
        <f t="shared" si="19"/>
        <v>1292719.8798128124</v>
      </c>
      <c r="H61" s="320">
        <f t="shared" si="19"/>
        <v>1286539.7059737137</v>
      </c>
      <c r="I61" s="320">
        <f t="shared" si="19"/>
        <v>1280382.6888165809</v>
      </c>
      <c r="J61" s="320">
        <f t="shared" si="19"/>
        <v>1274249.0181877795</v>
      </c>
      <c r="K61" s="320">
        <f t="shared" si="19"/>
        <v>1268138.8860145954</v>
      </c>
      <c r="L61" s="320">
        <f t="shared" si="19"/>
        <v>1262109.7976496739</v>
      </c>
      <c r="M61" s="320">
        <f t="shared" si="19"/>
        <v>1256104.9537802537</v>
      </c>
      <c r="N61" s="320">
        <f t="shared" si="19"/>
        <v>1250124.5553676991</v>
      </c>
      <c r="O61" s="320">
        <f t="shared" si="19"/>
        <v>1244168.8056005393</v>
      </c>
      <c r="P61" s="320">
        <f t="shared" si="19"/>
        <v>1238295.8581615505</v>
      </c>
      <c r="Q61" s="320">
        <f t="shared" si="19"/>
        <v>1232448.2954471996</v>
      </c>
      <c r="R61" s="320">
        <f t="shared" si="19"/>
        <v>1226626.3302216057</v>
      </c>
      <c r="S61" s="320">
        <f t="shared" si="19"/>
        <v>1220830.1776332811</v>
      </c>
      <c r="T61" s="320">
        <f t="shared" si="19"/>
        <v>1211655.8363596632</v>
      </c>
      <c r="U61" s="320">
        <f t="shared" si="19"/>
        <v>1202539.9303807816</v>
      </c>
      <c r="V61" s="320">
        <f t="shared" si="19"/>
        <v>1193540.8949913732</v>
      </c>
      <c r="W61" s="320">
        <f t="shared" si="19"/>
        <v>1184600.2948967009</v>
      </c>
      <c r="X61" s="320">
        <f t="shared" si="19"/>
        <v>1175718.130096765</v>
      </c>
      <c r="Y61" s="320">
        <f t="shared" si="19"/>
        <v>1166894.4005915655</v>
      </c>
      <c r="Z61" s="320">
        <f t="shared" si="19"/>
        <v>1158129.1063811025</v>
      </c>
      <c r="AA61" s="320">
        <f t="shared" si="19"/>
        <v>1149422.247465376</v>
      </c>
      <c r="AB61" s="320">
        <f t="shared" si="19"/>
        <v>1140773.8238443858</v>
      </c>
    </row>
    <row r="62" spans="2:28" outlineLevel="1" x14ac:dyDescent="0.2">
      <c r="B62" s="321" t="s">
        <v>441</v>
      </c>
      <c r="C62" s="311" t="s">
        <v>429</v>
      </c>
      <c r="D62" s="320">
        <f t="shared" si="18"/>
        <v>5051</v>
      </c>
      <c r="E62" s="320">
        <f t="shared" ref="E62:AB62" si="20">D62</f>
        <v>5051</v>
      </c>
      <c r="F62" s="320">
        <f t="shared" si="20"/>
        <v>5051</v>
      </c>
      <c r="G62" s="320">
        <f t="shared" si="20"/>
        <v>5051</v>
      </c>
      <c r="H62" s="320">
        <f t="shared" si="20"/>
        <v>5051</v>
      </c>
      <c r="I62" s="320">
        <f t="shared" si="20"/>
        <v>5051</v>
      </c>
      <c r="J62" s="320">
        <f t="shared" si="20"/>
        <v>5051</v>
      </c>
      <c r="K62" s="320">
        <f t="shared" si="20"/>
        <v>5051</v>
      </c>
      <c r="L62" s="320">
        <f t="shared" si="20"/>
        <v>5051</v>
      </c>
      <c r="M62" s="320">
        <f t="shared" si="20"/>
        <v>5051</v>
      </c>
      <c r="N62" s="320">
        <f t="shared" si="20"/>
        <v>5051</v>
      </c>
      <c r="O62" s="320">
        <f t="shared" si="20"/>
        <v>5051</v>
      </c>
      <c r="P62" s="320">
        <f t="shared" si="20"/>
        <v>5051</v>
      </c>
      <c r="Q62" s="320">
        <f t="shared" si="20"/>
        <v>5051</v>
      </c>
      <c r="R62" s="320">
        <f t="shared" si="20"/>
        <v>5051</v>
      </c>
      <c r="S62" s="320">
        <f t="shared" si="20"/>
        <v>5051</v>
      </c>
      <c r="T62" s="320">
        <f t="shared" si="20"/>
        <v>5051</v>
      </c>
      <c r="U62" s="320">
        <f t="shared" si="20"/>
        <v>5051</v>
      </c>
      <c r="V62" s="320">
        <f t="shared" si="20"/>
        <v>5051</v>
      </c>
      <c r="W62" s="320">
        <f t="shared" si="20"/>
        <v>5051</v>
      </c>
      <c r="X62" s="320">
        <f t="shared" si="20"/>
        <v>5051</v>
      </c>
      <c r="Y62" s="320">
        <f t="shared" si="20"/>
        <v>5051</v>
      </c>
      <c r="Z62" s="320">
        <f t="shared" si="20"/>
        <v>5051</v>
      </c>
      <c r="AA62" s="320">
        <f t="shared" si="20"/>
        <v>5051</v>
      </c>
      <c r="AB62" s="320">
        <f t="shared" si="20"/>
        <v>5051</v>
      </c>
    </row>
    <row r="63" spans="2:28" outlineLevel="1" x14ac:dyDescent="0.2">
      <c r="B63" s="321" t="s">
        <v>292</v>
      </c>
      <c r="C63" s="311" t="s">
        <v>429</v>
      </c>
      <c r="D63" s="320">
        <f t="shared" si="18"/>
        <v>38629.999999999993</v>
      </c>
      <c r="E63" s="320">
        <f t="shared" ref="E63:AB63" si="21">D63</f>
        <v>38629.999999999993</v>
      </c>
      <c r="F63" s="320">
        <f t="shared" si="21"/>
        <v>38629.999999999993</v>
      </c>
      <c r="G63" s="320">
        <f t="shared" si="21"/>
        <v>38629.999999999993</v>
      </c>
      <c r="H63" s="320">
        <f t="shared" si="21"/>
        <v>38629.999999999993</v>
      </c>
      <c r="I63" s="320">
        <f t="shared" si="21"/>
        <v>38629.999999999993</v>
      </c>
      <c r="J63" s="320">
        <f t="shared" si="21"/>
        <v>38629.999999999993</v>
      </c>
      <c r="K63" s="320">
        <f t="shared" si="21"/>
        <v>38629.999999999993</v>
      </c>
      <c r="L63" s="320">
        <f t="shared" si="21"/>
        <v>38629.999999999993</v>
      </c>
      <c r="M63" s="320">
        <f t="shared" si="21"/>
        <v>38629.999999999993</v>
      </c>
      <c r="N63" s="320">
        <f t="shared" si="21"/>
        <v>38629.999999999993</v>
      </c>
      <c r="O63" s="320">
        <f t="shared" si="21"/>
        <v>38629.999999999993</v>
      </c>
      <c r="P63" s="320">
        <f t="shared" si="21"/>
        <v>38629.999999999993</v>
      </c>
      <c r="Q63" s="320">
        <f t="shared" si="21"/>
        <v>38629.999999999993</v>
      </c>
      <c r="R63" s="320">
        <f t="shared" si="21"/>
        <v>38629.999999999993</v>
      </c>
      <c r="S63" s="320">
        <f t="shared" si="21"/>
        <v>38629.999999999993</v>
      </c>
      <c r="T63" s="320">
        <f t="shared" si="21"/>
        <v>38629.999999999993</v>
      </c>
      <c r="U63" s="320">
        <f t="shared" si="21"/>
        <v>38629.999999999993</v>
      </c>
      <c r="V63" s="320">
        <f t="shared" si="21"/>
        <v>38629.999999999993</v>
      </c>
      <c r="W63" s="320">
        <f t="shared" si="21"/>
        <v>38629.999999999993</v>
      </c>
      <c r="X63" s="320">
        <f t="shared" si="21"/>
        <v>38629.999999999993</v>
      </c>
      <c r="Y63" s="320">
        <f t="shared" si="21"/>
        <v>38629.999999999993</v>
      </c>
      <c r="Z63" s="320">
        <f t="shared" si="21"/>
        <v>38629.999999999993</v>
      </c>
      <c r="AA63" s="320">
        <f t="shared" si="21"/>
        <v>38629.999999999993</v>
      </c>
      <c r="AB63" s="320">
        <f t="shared" si="21"/>
        <v>38629.999999999993</v>
      </c>
    </row>
    <row r="64" spans="2:28" outlineLevel="1" x14ac:dyDescent="0.2">
      <c r="B64" s="321" t="s">
        <v>440</v>
      </c>
      <c r="C64" s="311" t="s">
        <v>429</v>
      </c>
      <c r="D64" s="320">
        <f t="shared" si="18"/>
        <v>821</v>
      </c>
      <c r="E64" s="320">
        <f t="shared" ref="E64:AB64" si="22">D64</f>
        <v>821</v>
      </c>
      <c r="F64" s="320">
        <f t="shared" si="22"/>
        <v>821</v>
      </c>
      <c r="G64" s="320">
        <f t="shared" si="22"/>
        <v>821</v>
      </c>
      <c r="H64" s="320">
        <f t="shared" si="22"/>
        <v>821</v>
      </c>
      <c r="I64" s="320">
        <f t="shared" si="22"/>
        <v>821</v>
      </c>
      <c r="J64" s="320">
        <f t="shared" si="22"/>
        <v>821</v>
      </c>
      <c r="K64" s="320">
        <f t="shared" si="22"/>
        <v>821</v>
      </c>
      <c r="L64" s="320">
        <f t="shared" si="22"/>
        <v>821</v>
      </c>
      <c r="M64" s="320">
        <f t="shared" si="22"/>
        <v>821</v>
      </c>
      <c r="N64" s="320">
        <f t="shared" si="22"/>
        <v>821</v>
      </c>
      <c r="O64" s="320">
        <f t="shared" si="22"/>
        <v>821</v>
      </c>
      <c r="P64" s="320">
        <f t="shared" si="22"/>
        <v>821</v>
      </c>
      <c r="Q64" s="320">
        <f t="shared" si="22"/>
        <v>821</v>
      </c>
      <c r="R64" s="320">
        <f t="shared" si="22"/>
        <v>821</v>
      </c>
      <c r="S64" s="320">
        <f t="shared" si="22"/>
        <v>821</v>
      </c>
      <c r="T64" s="320">
        <f t="shared" si="22"/>
        <v>821</v>
      </c>
      <c r="U64" s="320">
        <f t="shared" si="22"/>
        <v>821</v>
      </c>
      <c r="V64" s="320">
        <f t="shared" si="22"/>
        <v>821</v>
      </c>
      <c r="W64" s="320">
        <f t="shared" si="22"/>
        <v>821</v>
      </c>
      <c r="X64" s="320">
        <f t="shared" si="22"/>
        <v>821</v>
      </c>
      <c r="Y64" s="320">
        <f t="shared" si="22"/>
        <v>821</v>
      </c>
      <c r="Z64" s="320">
        <f t="shared" si="22"/>
        <v>821</v>
      </c>
      <c r="AA64" s="320">
        <f t="shared" si="22"/>
        <v>821</v>
      </c>
      <c r="AB64" s="320">
        <f t="shared" si="22"/>
        <v>821</v>
      </c>
    </row>
    <row r="65" spans="1:28" outlineLevel="1" x14ac:dyDescent="0.2">
      <c r="B65" s="321" t="s">
        <v>439</v>
      </c>
      <c r="C65" s="311" t="s">
        <v>429</v>
      </c>
      <c r="D65" s="320">
        <f t="shared" si="18"/>
        <v>8094.96</v>
      </c>
      <c r="E65" s="320">
        <f t="shared" ref="E65:AB65" si="23">D65</f>
        <v>8094.96</v>
      </c>
      <c r="F65" s="320">
        <f t="shared" si="23"/>
        <v>8094.96</v>
      </c>
      <c r="G65" s="320">
        <f t="shared" si="23"/>
        <v>8094.96</v>
      </c>
      <c r="H65" s="320">
        <f t="shared" si="23"/>
        <v>8094.96</v>
      </c>
      <c r="I65" s="320">
        <f t="shared" si="23"/>
        <v>8094.96</v>
      </c>
      <c r="J65" s="320">
        <f t="shared" si="23"/>
        <v>8094.96</v>
      </c>
      <c r="K65" s="320">
        <f t="shared" si="23"/>
        <v>8094.96</v>
      </c>
      <c r="L65" s="320">
        <f t="shared" si="23"/>
        <v>8094.96</v>
      </c>
      <c r="M65" s="320">
        <f t="shared" si="23"/>
        <v>8094.96</v>
      </c>
      <c r="N65" s="320">
        <f t="shared" si="23"/>
        <v>8094.96</v>
      </c>
      <c r="O65" s="320">
        <f t="shared" si="23"/>
        <v>8094.96</v>
      </c>
      <c r="P65" s="320">
        <f t="shared" si="23"/>
        <v>8094.96</v>
      </c>
      <c r="Q65" s="320">
        <f t="shared" si="23"/>
        <v>8094.96</v>
      </c>
      <c r="R65" s="320">
        <f t="shared" si="23"/>
        <v>8094.96</v>
      </c>
      <c r="S65" s="320">
        <f t="shared" si="23"/>
        <v>8094.96</v>
      </c>
      <c r="T65" s="320">
        <f t="shared" si="23"/>
        <v>8094.96</v>
      </c>
      <c r="U65" s="320">
        <f t="shared" si="23"/>
        <v>8094.96</v>
      </c>
      <c r="V65" s="320">
        <f t="shared" si="23"/>
        <v>8094.96</v>
      </c>
      <c r="W65" s="320">
        <f t="shared" si="23"/>
        <v>8094.96</v>
      </c>
      <c r="X65" s="320">
        <f t="shared" si="23"/>
        <v>8094.96</v>
      </c>
      <c r="Y65" s="320">
        <f t="shared" si="23"/>
        <v>8094.96</v>
      </c>
      <c r="Z65" s="320">
        <f t="shared" si="23"/>
        <v>8094.96</v>
      </c>
      <c r="AA65" s="320">
        <f t="shared" si="23"/>
        <v>8094.96</v>
      </c>
      <c r="AB65" s="320">
        <f t="shared" si="23"/>
        <v>8094.96</v>
      </c>
    </row>
    <row r="66" spans="1:28" outlineLevel="1" x14ac:dyDescent="0.2">
      <c r="B66" s="321" t="s">
        <v>438</v>
      </c>
      <c r="C66" s="311" t="s">
        <v>429</v>
      </c>
      <c r="D66" s="320">
        <f t="shared" si="18"/>
        <v>368900.67700000003</v>
      </c>
      <c r="E66" s="320">
        <f t="shared" ref="E66:AB66" si="24">D66*(1+D5)</f>
        <v>380705.49866400001</v>
      </c>
      <c r="F66" s="320">
        <f t="shared" si="24"/>
        <v>392888.074621248</v>
      </c>
      <c r="G66" s="320">
        <f t="shared" si="24"/>
        <v>402317.38841215795</v>
      </c>
      <c r="H66" s="320">
        <f t="shared" si="24"/>
        <v>411973.00573404977</v>
      </c>
      <c r="I66" s="320">
        <f t="shared" si="24"/>
        <v>420624.4388544648</v>
      </c>
      <c r="J66" s="320">
        <f t="shared" si="24"/>
        <v>429457.55207040854</v>
      </c>
      <c r="K66" s="320">
        <f t="shared" si="24"/>
        <v>438476.1606638871</v>
      </c>
      <c r="L66" s="320">
        <f t="shared" si="24"/>
        <v>447684.16003782867</v>
      </c>
      <c r="M66" s="320">
        <f t="shared" si="24"/>
        <v>457085.527398623</v>
      </c>
      <c r="N66" s="320">
        <f t="shared" si="24"/>
        <v>466684.32347399404</v>
      </c>
      <c r="O66" s="320">
        <f t="shared" si="24"/>
        <v>476484.69426694786</v>
      </c>
      <c r="P66" s="320">
        <f t="shared" si="24"/>
        <v>486490.87284655374</v>
      </c>
      <c r="Q66" s="320">
        <f t="shared" si="24"/>
        <v>496707.1811763313</v>
      </c>
      <c r="R66" s="320">
        <f t="shared" si="24"/>
        <v>507138.0319810342</v>
      </c>
      <c r="S66" s="320">
        <f t="shared" si="24"/>
        <v>517787.93065263587</v>
      </c>
      <c r="T66" s="320">
        <f t="shared" si="24"/>
        <v>528661.47719634115</v>
      </c>
      <c r="U66" s="320">
        <f t="shared" si="24"/>
        <v>539763.3682174643</v>
      </c>
      <c r="V66" s="320">
        <f t="shared" si="24"/>
        <v>551098.39895003103</v>
      </c>
      <c r="W66" s="320">
        <f t="shared" si="24"/>
        <v>562671.46532798163</v>
      </c>
      <c r="X66" s="320">
        <f t="shared" si="24"/>
        <v>574487.5660998692</v>
      </c>
      <c r="Y66" s="320">
        <f t="shared" si="24"/>
        <v>586551.80498796643</v>
      </c>
      <c r="Z66" s="320">
        <f t="shared" si="24"/>
        <v>598869.39289271366</v>
      </c>
      <c r="AA66" s="320">
        <f t="shared" si="24"/>
        <v>611445.6501434606</v>
      </c>
      <c r="AB66" s="320">
        <f t="shared" si="24"/>
        <v>624286.00879647327</v>
      </c>
    </row>
    <row r="67" spans="1:28" outlineLevel="1" x14ac:dyDescent="0.2">
      <c r="B67" s="321" t="s">
        <v>437</v>
      </c>
      <c r="C67" s="311" t="s">
        <v>429</v>
      </c>
      <c r="D67" s="320">
        <f t="shared" si="18"/>
        <v>76702.800000000017</v>
      </c>
      <c r="E67" s="320">
        <f t="shared" ref="E67:AB67" si="25">D67*(1+$D$42)</f>
        <v>79770.912000000026</v>
      </c>
      <c r="F67" s="320">
        <f t="shared" si="25"/>
        <v>82961.748480000024</v>
      </c>
      <c r="G67" s="320">
        <f t="shared" si="25"/>
        <v>86280.218419200028</v>
      </c>
      <c r="H67" s="320">
        <f t="shared" si="25"/>
        <v>89731.427155968035</v>
      </c>
      <c r="I67" s="320">
        <f t="shared" si="25"/>
        <v>93320.684242206757</v>
      </c>
      <c r="J67" s="320">
        <f t="shared" si="25"/>
        <v>97053.511611895025</v>
      </c>
      <c r="K67" s="320">
        <f t="shared" si="25"/>
        <v>100935.65207637082</v>
      </c>
      <c r="L67" s="320">
        <f t="shared" si="25"/>
        <v>104973.07815942566</v>
      </c>
      <c r="M67" s="320">
        <f t="shared" si="25"/>
        <v>109172.00128580269</v>
      </c>
      <c r="N67" s="320">
        <f t="shared" si="25"/>
        <v>113538.88133723479</v>
      </c>
      <c r="O67" s="320">
        <f t="shared" si="25"/>
        <v>118080.43659072419</v>
      </c>
      <c r="P67" s="320">
        <f t="shared" si="25"/>
        <v>122803.65405435316</v>
      </c>
      <c r="Q67" s="320">
        <f t="shared" si="25"/>
        <v>127715.80021652729</v>
      </c>
      <c r="R67" s="320">
        <f t="shared" si="25"/>
        <v>132824.43222518839</v>
      </c>
      <c r="S67" s="320">
        <f t="shared" si="25"/>
        <v>138137.40951419593</v>
      </c>
      <c r="T67" s="320">
        <f t="shared" si="25"/>
        <v>143662.90589476377</v>
      </c>
      <c r="U67" s="320">
        <f t="shared" si="25"/>
        <v>149409.42213055433</v>
      </c>
      <c r="V67" s="320">
        <f t="shared" si="25"/>
        <v>155385.79901577652</v>
      </c>
      <c r="W67" s="320">
        <f t="shared" si="25"/>
        <v>161601.23097640759</v>
      </c>
      <c r="X67" s="320">
        <f t="shared" si="25"/>
        <v>168065.28021546389</v>
      </c>
      <c r="Y67" s="320">
        <f t="shared" si="25"/>
        <v>174787.89142408245</v>
      </c>
      <c r="Z67" s="320">
        <f t="shared" si="25"/>
        <v>181779.40708104576</v>
      </c>
      <c r="AA67" s="320">
        <f t="shared" si="25"/>
        <v>189050.5833642876</v>
      </c>
      <c r="AB67" s="320">
        <f t="shared" si="25"/>
        <v>196612.6066988591</v>
      </c>
    </row>
    <row r="68" spans="1:28" outlineLevel="1" x14ac:dyDescent="0.2">
      <c r="B68" s="321" t="s">
        <v>436</v>
      </c>
      <c r="C68" s="311" t="s">
        <v>429</v>
      </c>
      <c r="D68" s="320">
        <f t="shared" si="18"/>
        <v>232904.99999999997</v>
      </c>
      <c r="E68" s="320">
        <f t="shared" ref="E68:AB68" si="26">$D$68+E58</f>
        <v>233532.69999999998</v>
      </c>
      <c r="F68" s="320">
        <f t="shared" si="26"/>
        <v>233850.68639999998</v>
      </c>
      <c r="G68" s="320">
        <f t="shared" si="26"/>
        <v>236219.74514463998</v>
      </c>
      <c r="H68" s="320">
        <f t="shared" si="26"/>
        <v>236542.09665200638</v>
      </c>
      <c r="I68" s="320">
        <f t="shared" si="26"/>
        <v>236866.42691602747</v>
      </c>
      <c r="J68" s="320">
        <f t="shared" si="26"/>
        <v>237192.777490593</v>
      </c>
      <c r="K68" s="320">
        <f t="shared" si="26"/>
        <v>237521.19080222442</v>
      </c>
      <c r="L68" s="320">
        <f t="shared" si="26"/>
        <v>237851.71016840008</v>
      </c>
      <c r="M68" s="320">
        <f t="shared" si="26"/>
        <v>238184.37981626546</v>
      </c>
      <c r="N68" s="320">
        <f t="shared" si="26"/>
        <v>238519.24490173598</v>
      </c>
      <c r="O68" s="320">
        <f t="shared" si="26"/>
        <v>249643.76360149472</v>
      </c>
      <c r="P68" s="320">
        <f t="shared" si="26"/>
        <v>249983.15884293272</v>
      </c>
      <c r="Q68" s="320">
        <f t="shared" si="26"/>
        <v>250324.8907594409</v>
      </c>
      <c r="R68" s="320">
        <f t="shared" si="26"/>
        <v>250669.00842119576</v>
      </c>
      <c r="S68" s="320">
        <f t="shared" si="26"/>
        <v>251015.56192884748</v>
      </c>
      <c r="T68" s="320">
        <f t="shared" si="26"/>
        <v>268118.54673815495</v>
      </c>
      <c r="U68" s="320">
        <f t="shared" si="26"/>
        <v>268470.1264700999</v>
      </c>
      <c r="V68" s="320">
        <f t="shared" si="26"/>
        <v>268824.29875141574</v>
      </c>
      <c r="W68" s="320">
        <f t="shared" si="26"/>
        <v>269181.11802563915</v>
      </c>
      <c r="X68" s="320">
        <f t="shared" si="26"/>
        <v>269540.63987962127</v>
      </c>
      <c r="Y68" s="320">
        <f t="shared" si="26"/>
        <v>269902.92106753704</v>
      </c>
      <c r="Z68" s="320">
        <f t="shared" si="26"/>
        <v>287792.74599277414</v>
      </c>
      <c r="AA68" s="320">
        <f t="shared" si="26"/>
        <v>286111.8052324212</v>
      </c>
      <c r="AB68" s="320">
        <f t="shared" si="26"/>
        <v>286482.71699123271</v>
      </c>
    </row>
    <row r="69" spans="1:28" outlineLevel="1" x14ac:dyDescent="0.2">
      <c r="B69" s="321" t="s">
        <v>435</v>
      </c>
      <c r="C69" s="311" t="s">
        <v>429</v>
      </c>
      <c r="D69" s="320">
        <f t="shared" si="18"/>
        <v>11540.75</v>
      </c>
      <c r="E69" s="320">
        <f t="shared" ref="E69:AB69" si="27">D69</f>
        <v>11540.75</v>
      </c>
      <c r="F69" s="320">
        <f t="shared" si="27"/>
        <v>11540.75</v>
      </c>
      <c r="G69" s="320">
        <f t="shared" si="27"/>
        <v>11540.75</v>
      </c>
      <c r="H69" s="320">
        <f t="shared" si="27"/>
        <v>11540.75</v>
      </c>
      <c r="I69" s="320">
        <f t="shared" si="27"/>
        <v>11540.75</v>
      </c>
      <c r="J69" s="320">
        <f t="shared" si="27"/>
        <v>11540.75</v>
      </c>
      <c r="K69" s="320">
        <f t="shared" si="27"/>
        <v>11540.75</v>
      </c>
      <c r="L69" s="320">
        <f t="shared" si="27"/>
        <v>11540.75</v>
      </c>
      <c r="M69" s="320">
        <f t="shared" si="27"/>
        <v>11540.75</v>
      </c>
      <c r="N69" s="320">
        <f t="shared" si="27"/>
        <v>11540.75</v>
      </c>
      <c r="O69" s="320">
        <f t="shared" si="27"/>
        <v>11540.75</v>
      </c>
      <c r="P69" s="320">
        <f t="shared" si="27"/>
        <v>11540.75</v>
      </c>
      <c r="Q69" s="320">
        <f t="shared" si="27"/>
        <v>11540.75</v>
      </c>
      <c r="R69" s="320">
        <f t="shared" si="27"/>
        <v>11540.75</v>
      </c>
      <c r="S69" s="320">
        <f t="shared" si="27"/>
        <v>11540.75</v>
      </c>
      <c r="T69" s="320">
        <f t="shared" si="27"/>
        <v>11540.75</v>
      </c>
      <c r="U69" s="320">
        <f t="shared" si="27"/>
        <v>11540.75</v>
      </c>
      <c r="V69" s="320">
        <f t="shared" si="27"/>
        <v>11540.75</v>
      </c>
      <c r="W69" s="320">
        <f t="shared" si="27"/>
        <v>11540.75</v>
      </c>
      <c r="X69" s="320">
        <f t="shared" si="27"/>
        <v>11540.75</v>
      </c>
      <c r="Y69" s="320">
        <f t="shared" si="27"/>
        <v>11540.75</v>
      </c>
      <c r="Z69" s="320">
        <f t="shared" si="27"/>
        <v>11540.75</v>
      </c>
      <c r="AA69" s="320">
        <f t="shared" si="27"/>
        <v>11540.75</v>
      </c>
      <c r="AB69" s="320">
        <f t="shared" si="27"/>
        <v>11540.75</v>
      </c>
    </row>
    <row r="70" spans="1:28" outlineLevel="1" x14ac:dyDescent="0.2">
      <c r="B70" s="321" t="s">
        <v>434</v>
      </c>
      <c r="C70" s="311" t="s">
        <v>429</v>
      </c>
      <c r="D70" s="320">
        <f t="shared" si="18"/>
        <v>17168.371999999999</v>
      </c>
      <c r="E70" s="320">
        <f t="shared" ref="E70:AB70" si="28">D70</f>
        <v>17168.371999999999</v>
      </c>
      <c r="F70" s="320">
        <f t="shared" si="28"/>
        <v>17168.371999999999</v>
      </c>
      <c r="G70" s="320">
        <f t="shared" si="28"/>
        <v>17168.371999999999</v>
      </c>
      <c r="H70" s="320">
        <f t="shared" si="28"/>
        <v>17168.371999999999</v>
      </c>
      <c r="I70" s="320">
        <f t="shared" si="28"/>
        <v>17168.371999999999</v>
      </c>
      <c r="J70" s="320">
        <f t="shared" si="28"/>
        <v>17168.371999999999</v>
      </c>
      <c r="K70" s="320">
        <f t="shared" si="28"/>
        <v>17168.371999999999</v>
      </c>
      <c r="L70" s="320">
        <f t="shared" si="28"/>
        <v>17168.371999999999</v>
      </c>
      <c r="M70" s="320">
        <f t="shared" si="28"/>
        <v>17168.371999999999</v>
      </c>
      <c r="N70" s="320">
        <f t="shared" si="28"/>
        <v>17168.371999999999</v>
      </c>
      <c r="O70" s="320">
        <f t="shared" si="28"/>
        <v>17168.371999999999</v>
      </c>
      <c r="P70" s="320">
        <f t="shared" si="28"/>
        <v>17168.371999999999</v>
      </c>
      <c r="Q70" s="320">
        <f t="shared" si="28"/>
        <v>17168.371999999999</v>
      </c>
      <c r="R70" s="320">
        <f t="shared" si="28"/>
        <v>17168.371999999999</v>
      </c>
      <c r="S70" s="320">
        <f t="shared" si="28"/>
        <v>17168.371999999999</v>
      </c>
      <c r="T70" s="320">
        <f t="shared" si="28"/>
        <v>17168.371999999999</v>
      </c>
      <c r="U70" s="320">
        <f t="shared" si="28"/>
        <v>17168.371999999999</v>
      </c>
      <c r="V70" s="320">
        <f t="shared" si="28"/>
        <v>17168.371999999999</v>
      </c>
      <c r="W70" s="320">
        <f t="shared" si="28"/>
        <v>17168.371999999999</v>
      </c>
      <c r="X70" s="320">
        <f t="shared" si="28"/>
        <v>17168.371999999999</v>
      </c>
      <c r="Y70" s="320">
        <f t="shared" si="28"/>
        <v>17168.371999999999</v>
      </c>
      <c r="Z70" s="320">
        <f t="shared" si="28"/>
        <v>17168.371999999999</v>
      </c>
      <c r="AA70" s="320">
        <f t="shared" si="28"/>
        <v>17168.371999999999</v>
      </c>
      <c r="AB70" s="320">
        <f t="shared" si="28"/>
        <v>17168.371999999999</v>
      </c>
    </row>
    <row r="71" spans="1:28" outlineLevel="1" x14ac:dyDescent="0.2">
      <c r="B71" s="321" t="s">
        <v>291</v>
      </c>
      <c r="C71" s="311" t="s">
        <v>429</v>
      </c>
      <c r="D71" s="320">
        <f t="shared" si="18"/>
        <v>189980.00000000003</v>
      </c>
      <c r="E71" s="320">
        <f t="shared" ref="E71:AB71" si="29">D71</f>
        <v>189980.00000000003</v>
      </c>
      <c r="F71" s="320">
        <f t="shared" si="29"/>
        <v>189980.00000000003</v>
      </c>
      <c r="G71" s="320">
        <f t="shared" si="29"/>
        <v>189980.00000000003</v>
      </c>
      <c r="H71" s="320">
        <f t="shared" si="29"/>
        <v>189980.00000000003</v>
      </c>
      <c r="I71" s="320">
        <f t="shared" si="29"/>
        <v>189980.00000000003</v>
      </c>
      <c r="J71" s="320">
        <f t="shared" si="29"/>
        <v>189980.00000000003</v>
      </c>
      <c r="K71" s="320">
        <f t="shared" si="29"/>
        <v>189980.00000000003</v>
      </c>
      <c r="L71" s="320">
        <f t="shared" si="29"/>
        <v>189980.00000000003</v>
      </c>
      <c r="M71" s="320">
        <f t="shared" si="29"/>
        <v>189980.00000000003</v>
      </c>
      <c r="N71" s="320">
        <f t="shared" si="29"/>
        <v>189980.00000000003</v>
      </c>
      <c r="O71" s="320">
        <f t="shared" si="29"/>
        <v>189980.00000000003</v>
      </c>
      <c r="P71" s="320">
        <f t="shared" si="29"/>
        <v>189980.00000000003</v>
      </c>
      <c r="Q71" s="320">
        <f t="shared" si="29"/>
        <v>189980.00000000003</v>
      </c>
      <c r="R71" s="320">
        <f t="shared" si="29"/>
        <v>189980.00000000003</v>
      </c>
      <c r="S71" s="320">
        <f t="shared" si="29"/>
        <v>189980.00000000003</v>
      </c>
      <c r="T71" s="320">
        <f t="shared" si="29"/>
        <v>189980.00000000003</v>
      </c>
      <c r="U71" s="320">
        <f t="shared" si="29"/>
        <v>189980.00000000003</v>
      </c>
      <c r="V71" s="320">
        <f t="shared" si="29"/>
        <v>189980.00000000003</v>
      </c>
      <c r="W71" s="320">
        <f t="shared" si="29"/>
        <v>189980.00000000003</v>
      </c>
      <c r="X71" s="320">
        <f t="shared" si="29"/>
        <v>189980.00000000003</v>
      </c>
      <c r="Y71" s="320">
        <f t="shared" si="29"/>
        <v>189980.00000000003</v>
      </c>
      <c r="Z71" s="320">
        <f t="shared" si="29"/>
        <v>189980.00000000003</v>
      </c>
      <c r="AA71" s="320">
        <f t="shared" si="29"/>
        <v>189980.00000000003</v>
      </c>
      <c r="AB71" s="320">
        <f t="shared" si="29"/>
        <v>189980.00000000003</v>
      </c>
    </row>
    <row r="72" spans="1:28" outlineLevel="1" x14ac:dyDescent="0.2">
      <c r="B72" s="321" t="s">
        <v>433</v>
      </c>
      <c r="C72" s="311" t="s">
        <v>429</v>
      </c>
      <c r="D72" s="320">
        <f t="shared" si="18"/>
        <v>2440</v>
      </c>
      <c r="E72" s="320">
        <f t="shared" ref="E72:AB72" si="30">D72</f>
        <v>2440</v>
      </c>
      <c r="F72" s="320">
        <f t="shared" si="30"/>
        <v>2440</v>
      </c>
      <c r="G72" s="320">
        <f t="shared" si="30"/>
        <v>2440</v>
      </c>
      <c r="H72" s="320">
        <f t="shared" si="30"/>
        <v>2440</v>
      </c>
      <c r="I72" s="320">
        <f t="shared" si="30"/>
        <v>2440</v>
      </c>
      <c r="J72" s="320">
        <f t="shared" si="30"/>
        <v>2440</v>
      </c>
      <c r="K72" s="320">
        <f t="shared" si="30"/>
        <v>2440</v>
      </c>
      <c r="L72" s="320">
        <f t="shared" si="30"/>
        <v>2440</v>
      </c>
      <c r="M72" s="320">
        <f t="shared" si="30"/>
        <v>2440</v>
      </c>
      <c r="N72" s="320">
        <f t="shared" si="30"/>
        <v>2440</v>
      </c>
      <c r="O72" s="320">
        <f t="shared" si="30"/>
        <v>2440</v>
      </c>
      <c r="P72" s="320">
        <f t="shared" si="30"/>
        <v>2440</v>
      </c>
      <c r="Q72" s="320">
        <f t="shared" si="30"/>
        <v>2440</v>
      </c>
      <c r="R72" s="320">
        <f t="shared" si="30"/>
        <v>2440</v>
      </c>
      <c r="S72" s="320">
        <f t="shared" si="30"/>
        <v>2440</v>
      </c>
      <c r="T72" s="320">
        <f t="shared" si="30"/>
        <v>2440</v>
      </c>
      <c r="U72" s="320">
        <f t="shared" si="30"/>
        <v>2440</v>
      </c>
      <c r="V72" s="320">
        <f t="shared" si="30"/>
        <v>2440</v>
      </c>
      <c r="W72" s="320">
        <f t="shared" si="30"/>
        <v>2440</v>
      </c>
      <c r="X72" s="320">
        <f t="shared" si="30"/>
        <v>2440</v>
      </c>
      <c r="Y72" s="320">
        <f t="shared" si="30"/>
        <v>2440</v>
      </c>
      <c r="Z72" s="320">
        <f t="shared" si="30"/>
        <v>2440</v>
      </c>
      <c r="AA72" s="320">
        <f t="shared" si="30"/>
        <v>2440</v>
      </c>
      <c r="AB72" s="320">
        <f t="shared" si="30"/>
        <v>2440</v>
      </c>
    </row>
    <row r="73" spans="1:28" outlineLevel="1" x14ac:dyDescent="0.2">
      <c r="B73" s="321" t="s">
        <v>432</v>
      </c>
      <c r="C73" s="311" t="s">
        <v>429</v>
      </c>
      <c r="D73" s="320">
        <f t="shared" si="18"/>
        <v>-406819.98013163998</v>
      </c>
      <c r="E73" s="320">
        <f t="shared" ref="E73:AB73" si="31">D73</f>
        <v>-406819.98013163998</v>
      </c>
      <c r="F73" s="320">
        <f t="shared" si="31"/>
        <v>-406819.98013163998</v>
      </c>
      <c r="G73" s="320">
        <f t="shared" si="31"/>
        <v>-406819.98013163998</v>
      </c>
      <c r="H73" s="320">
        <f t="shared" si="31"/>
        <v>-406819.98013163998</v>
      </c>
      <c r="I73" s="320">
        <f t="shared" si="31"/>
        <v>-406819.98013163998</v>
      </c>
      <c r="J73" s="320">
        <f t="shared" si="31"/>
        <v>-406819.98013163998</v>
      </c>
      <c r="K73" s="320">
        <f t="shared" si="31"/>
        <v>-406819.98013163998</v>
      </c>
      <c r="L73" s="320">
        <f t="shared" si="31"/>
        <v>-406819.98013163998</v>
      </c>
      <c r="M73" s="320">
        <f t="shared" si="31"/>
        <v>-406819.98013163998</v>
      </c>
      <c r="N73" s="320">
        <f t="shared" si="31"/>
        <v>-406819.98013163998</v>
      </c>
      <c r="O73" s="320">
        <f t="shared" si="31"/>
        <v>-406819.98013163998</v>
      </c>
      <c r="P73" s="320">
        <f t="shared" si="31"/>
        <v>-406819.98013163998</v>
      </c>
      <c r="Q73" s="320">
        <f t="shared" si="31"/>
        <v>-406819.98013163998</v>
      </c>
      <c r="R73" s="320">
        <f t="shared" si="31"/>
        <v>-406819.98013163998</v>
      </c>
      <c r="S73" s="320">
        <f t="shared" si="31"/>
        <v>-406819.98013163998</v>
      </c>
      <c r="T73" s="320">
        <f t="shared" si="31"/>
        <v>-406819.98013163998</v>
      </c>
      <c r="U73" s="320">
        <f t="shared" si="31"/>
        <v>-406819.98013163998</v>
      </c>
      <c r="V73" s="320">
        <f t="shared" si="31"/>
        <v>-406819.98013163998</v>
      </c>
      <c r="W73" s="320">
        <f t="shared" si="31"/>
        <v>-406819.98013163998</v>
      </c>
      <c r="X73" s="320">
        <f t="shared" si="31"/>
        <v>-406819.98013163998</v>
      </c>
      <c r="Y73" s="320">
        <f t="shared" si="31"/>
        <v>-406819.98013163998</v>
      </c>
      <c r="Z73" s="320">
        <f t="shared" si="31"/>
        <v>-406819.98013163998</v>
      </c>
      <c r="AA73" s="320">
        <f t="shared" si="31"/>
        <v>-406819.98013163998</v>
      </c>
      <c r="AB73" s="320">
        <f t="shared" si="31"/>
        <v>-406819.98013163998</v>
      </c>
    </row>
    <row r="74" spans="1:28" s="237" customFormat="1" outlineLevel="1" x14ac:dyDescent="0.2">
      <c r="B74" s="319" t="s">
        <v>431</v>
      </c>
      <c r="C74" s="318" t="s">
        <v>429</v>
      </c>
      <c r="D74" s="317">
        <f t="shared" ref="D74:AB74" si="32">SUM(D61:D73)</f>
        <v>1856983.5788683603</v>
      </c>
      <c r="E74" s="317">
        <f t="shared" si="32"/>
        <v>1866176.6204391611</v>
      </c>
      <c r="F74" s="317">
        <f t="shared" si="32"/>
        <v>1875586.0156714618</v>
      </c>
      <c r="G74" s="317">
        <f t="shared" si="32"/>
        <v>1884443.3336571702</v>
      </c>
      <c r="H74" s="317">
        <f t="shared" si="32"/>
        <v>1891692.3373840977</v>
      </c>
      <c r="I74" s="317">
        <f t="shared" si="32"/>
        <v>1898100.3406976401</v>
      </c>
      <c r="J74" s="317">
        <f t="shared" si="32"/>
        <v>1904858.9612290361</v>
      </c>
      <c r="K74" s="317">
        <f t="shared" si="32"/>
        <v>1911977.9914254374</v>
      </c>
      <c r="L74" s="317">
        <f t="shared" si="32"/>
        <v>1919524.8478836878</v>
      </c>
      <c r="M74" s="317">
        <f t="shared" si="32"/>
        <v>1927452.9641493047</v>
      </c>
      <c r="N74" s="317">
        <f t="shared" si="32"/>
        <v>1935773.1069490234</v>
      </c>
      <c r="O74" s="317">
        <f t="shared" si="32"/>
        <v>1955283.8019280662</v>
      </c>
      <c r="P74" s="317">
        <f t="shared" si="32"/>
        <v>1964479.6457737503</v>
      </c>
      <c r="Q74" s="317">
        <f t="shared" si="32"/>
        <v>1974102.2694678591</v>
      </c>
      <c r="R74" s="317">
        <f t="shared" si="32"/>
        <v>1984163.9047173839</v>
      </c>
      <c r="S74" s="317">
        <f t="shared" si="32"/>
        <v>1994677.1815973204</v>
      </c>
      <c r="T74" s="317">
        <f t="shared" si="32"/>
        <v>2019004.8680572831</v>
      </c>
      <c r="U74" s="317">
        <f t="shared" si="32"/>
        <v>2027088.9490672597</v>
      </c>
      <c r="V74" s="317">
        <f t="shared" si="32"/>
        <v>2035755.4935769564</v>
      </c>
      <c r="W74" s="317">
        <f t="shared" si="32"/>
        <v>2044960.2110950891</v>
      </c>
      <c r="X74" s="317">
        <f t="shared" si="32"/>
        <v>2054717.7181600793</v>
      </c>
      <c r="Y74" s="317">
        <f t="shared" si="32"/>
        <v>2065043.1199395112</v>
      </c>
      <c r="Z74" s="317">
        <f t="shared" si="32"/>
        <v>2093476.7542159958</v>
      </c>
      <c r="AA74" s="317">
        <f t="shared" si="32"/>
        <v>2102936.3880739054</v>
      </c>
      <c r="AB74" s="317">
        <f t="shared" si="32"/>
        <v>2115061.2581993104</v>
      </c>
    </row>
    <row r="75" spans="1:28" outlineLevel="1" x14ac:dyDescent="0.2">
      <c r="B75" s="319" t="s">
        <v>430</v>
      </c>
      <c r="C75" s="318" t="s">
        <v>429</v>
      </c>
      <c r="D75" s="317">
        <f t="shared" ref="D75:AB75" si="33">D74-D68</f>
        <v>1624078.5788683603</v>
      </c>
      <c r="E75" s="317">
        <f t="shared" si="33"/>
        <v>1632643.9204391611</v>
      </c>
      <c r="F75" s="317">
        <f t="shared" si="33"/>
        <v>1641735.3292714618</v>
      </c>
      <c r="G75" s="317">
        <f t="shared" si="33"/>
        <v>1648223.5885125301</v>
      </c>
      <c r="H75" s="317">
        <f t="shared" si="33"/>
        <v>1655150.2407320915</v>
      </c>
      <c r="I75" s="317">
        <f t="shared" si="33"/>
        <v>1661233.9137816126</v>
      </c>
      <c r="J75" s="317">
        <f t="shared" si="33"/>
        <v>1667666.1837384431</v>
      </c>
      <c r="K75" s="317">
        <f t="shared" si="33"/>
        <v>1674456.8006232129</v>
      </c>
      <c r="L75" s="317">
        <f t="shared" si="33"/>
        <v>1681673.1377152877</v>
      </c>
      <c r="M75" s="317">
        <f t="shared" si="33"/>
        <v>1689268.5843330391</v>
      </c>
      <c r="N75" s="317">
        <f t="shared" si="33"/>
        <v>1697253.8620472874</v>
      </c>
      <c r="O75" s="317">
        <f t="shared" si="33"/>
        <v>1705640.0383265715</v>
      </c>
      <c r="P75" s="317">
        <f t="shared" si="33"/>
        <v>1714496.4869308176</v>
      </c>
      <c r="Q75" s="317">
        <f t="shared" si="33"/>
        <v>1723777.3787084182</v>
      </c>
      <c r="R75" s="317">
        <f t="shared" si="33"/>
        <v>1733494.8962961882</v>
      </c>
      <c r="S75" s="317">
        <f t="shared" si="33"/>
        <v>1743661.6196684728</v>
      </c>
      <c r="T75" s="317">
        <f t="shared" si="33"/>
        <v>1750886.3213191282</v>
      </c>
      <c r="U75" s="317">
        <f t="shared" si="33"/>
        <v>1758618.8225971598</v>
      </c>
      <c r="V75" s="317">
        <f t="shared" si="33"/>
        <v>1766931.1948255408</v>
      </c>
      <c r="W75" s="317">
        <f t="shared" si="33"/>
        <v>1775779.09306945</v>
      </c>
      <c r="X75" s="317">
        <f t="shared" si="33"/>
        <v>1785177.078280458</v>
      </c>
      <c r="Y75" s="317">
        <f t="shared" si="33"/>
        <v>1795140.1988719741</v>
      </c>
      <c r="Z75" s="317">
        <f t="shared" si="33"/>
        <v>1805684.0082232216</v>
      </c>
      <c r="AA75" s="317">
        <f t="shared" si="33"/>
        <v>1816824.5828414841</v>
      </c>
      <c r="AB75" s="317">
        <f t="shared" si="33"/>
        <v>1828578.5412080777</v>
      </c>
    </row>
    <row r="76" spans="1:28" outlineLevel="1" x14ac:dyDescent="0.2">
      <c r="C76" s="311" t="s">
        <v>517</v>
      </c>
      <c r="D76" s="320">
        <f>NPV(0.05,D75:AB75)</f>
        <v>23941289.379855204</v>
      </c>
    </row>
    <row r="77" spans="1:28" s="182" customFormat="1" outlineLevel="1" x14ac:dyDescent="0.2">
      <c r="B77" s="316" t="s">
        <v>428</v>
      </c>
      <c r="C77" s="315" t="s">
        <v>289</v>
      </c>
      <c r="D77" s="314">
        <f t="shared" ref="D77:AB77" si="34">D74/D$45</f>
        <v>79.398657337093439</v>
      </c>
      <c r="E77" s="314">
        <f t="shared" si="34"/>
        <v>80.393599295186362</v>
      </c>
      <c r="F77" s="314">
        <f t="shared" si="34"/>
        <v>81.409176425689566</v>
      </c>
      <c r="G77" s="314">
        <f t="shared" si="34"/>
        <v>82.412461018856391</v>
      </c>
      <c r="H77" s="314">
        <f t="shared" si="34"/>
        <v>83.352823854774087</v>
      </c>
      <c r="I77" s="314">
        <f t="shared" si="34"/>
        <v>84.266385824534524</v>
      </c>
      <c r="J77" s="314">
        <f t="shared" si="34"/>
        <v>85.205714851898193</v>
      </c>
      <c r="K77" s="314">
        <f t="shared" si="34"/>
        <v>86.171714053787511</v>
      </c>
      <c r="L77" s="314">
        <f t="shared" si="34"/>
        <v>87.16396548377476</v>
      </c>
      <c r="M77" s="314">
        <f t="shared" si="34"/>
        <v>88.184698913359782</v>
      </c>
      <c r="N77" s="314">
        <f t="shared" si="34"/>
        <v>89.234919418661477</v>
      </c>
      <c r="O77" s="314">
        <f t="shared" si="34"/>
        <v>90.816711654810319</v>
      </c>
      <c r="P77" s="314">
        <f t="shared" si="34"/>
        <v>91.931285777235729</v>
      </c>
      <c r="Q77" s="314">
        <f t="shared" si="34"/>
        <v>93.078517113860116</v>
      </c>
      <c r="R77" s="314">
        <f t="shared" si="34"/>
        <v>94.259567920065749</v>
      </c>
      <c r="S77" s="314">
        <f t="shared" si="34"/>
        <v>95.47564529950796</v>
      </c>
      <c r="T77" s="314">
        <f t="shared" si="34"/>
        <v>97.371828698205121</v>
      </c>
      <c r="U77" s="314">
        <f t="shared" si="34"/>
        <v>98.502791635514825</v>
      </c>
      <c r="V77" s="314">
        <f t="shared" si="34"/>
        <v>99.669791607194924</v>
      </c>
      <c r="W77" s="314">
        <f t="shared" si="34"/>
        <v>100.87609565386194</v>
      </c>
      <c r="X77" s="314">
        <f t="shared" si="34"/>
        <v>102.12314702584888</v>
      </c>
      <c r="Y77" s="314">
        <f t="shared" si="34"/>
        <v>103.41244528717067</v>
      </c>
      <c r="Z77" s="314">
        <f t="shared" si="34"/>
        <v>105.6297872857357</v>
      </c>
      <c r="AA77" s="314">
        <f t="shared" si="34"/>
        <v>106.91084840233377</v>
      </c>
      <c r="AB77" s="314">
        <f t="shared" si="34"/>
        <v>108.34244740289471</v>
      </c>
    </row>
    <row r="78" spans="1:28" outlineLevel="1" x14ac:dyDescent="0.2">
      <c r="C78" s="172"/>
    </row>
    <row r="79" spans="1:28" s="338" customFormat="1" outlineLevel="1" x14ac:dyDescent="0.2">
      <c r="A79" s="258" t="s">
        <v>529</v>
      </c>
      <c r="C79" s="339"/>
      <c r="D79" s="339"/>
      <c r="E79" s="339"/>
      <c r="F79" s="339"/>
      <c r="G79" s="339"/>
      <c r="H79" s="339"/>
      <c r="I79" s="339"/>
      <c r="J79" s="339"/>
      <c r="K79" s="339"/>
      <c r="L79" s="339"/>
      <c r="M79" s="339"/>
      <c r="N79" s="339"/>
      <c r="O79" s="339"/>
      <c r="P79" s="339"/>
      <c r="Q79" s="339"/>
      <c r="R79" s="339"/>
      <c r="S79" s="339"/>
      <c r="T79" s="339"/>
      <c r="U79" s="339"/>
      <c r="V79" s="339"/>
      <c r="W79" s="339"/>
      <c r="X79" s="339"/>
    </row>
    <row r="80" spans="1:28" outlineLevel="1" x14ac:dyDescent="0.2">
      <c r="C80" s="172"/>
    </row>
    <row r="81" spans="2:28" outlineLevel="1" x14ac:dyDescent="0.2">
      <c r="B81" s="169" t="s">
        <v>468</v>
      </c>
      <c r="C81" s="337" t="s">
        <v>467</v>
      </c>
      <c r="D81" s="336">
        <v>0.12</v>
      </c>
    </row>
    <row r="82" spans="2:28" outlineLevel="1" x14ac:dyDescent="0.2">
      <c r="B82" s="169" t="s">
        <v>466</v>
      </c>
      <c r="C82" s="174" t="s">
        <v>465</v>
      </c>
      <c r="D82" s="336">
        <v>0.04</v>
      </c>
    </row>
    <row r="83" spans="2:28" ht="25.5" outlineLevel="1" x14ac:dyDescent="0.2">
      <c r="B83" s="184" t="s">
        <v>464</v>
      </c>
      <c r="C83" s="174" t="s">
        <v>210</v>
      </c>
      <c r="D83" s="336">
        <f>3/17</f>
        <v>0.17647058823529413</v>
      </c>
    </row>
    <row r="84" spans="2:28" outlineLevel="1" x14ac:dyDescent="0.2">
      <c r="B84" s="184" t="s">
        <v>463</v>
      </c>
      <c r="C84" s="174" t="s">
        <v>210</v>
      </c>
      <c r="D84" s="336">
        <f>F20/F17</f>
        <v>0.13091145587166059</v>
      </c>
    </row>
    <row r="85" spans="2:28" outlineLevel="1" x14ac:dyDescent="0.2">
      <c r="B85" s="184" t="s">
        <v>462</v>
      </c>
      <c r="C85" s="174" t="s">
        <v>210</v>
      </c>
      <c r="D85" s="336">
        <v>1</v>
      </c>
    </row>
    <row r="86" spans="2:28" outlineLevel="1" x14ac:dyDescent="0.2">
      <c r="C86" s="172"/>
    </row>
    <row r="87" spans="2:28" outlineLevel="1" x14ac:dyDescent="0.2">
      <c r="B87" s="335" t="s">
        <v>461</v>
      </c>
      <c r="C87" s="334"/>
    </row>
    <row r="88" spans="2:28" outlineLevel="1" x14ac:dyDescent="0.2">
      <c r="B88" s="321" t="s">
        <v>460</v>
      </c>
      <c r="C88" s="333" t="s">
        <v>407</v>
      </c>
      <c r="D88" s="250">
        <f t="shared" ref="D88:G90" si="35">D45</f>
        <v>23388.097999999998</v>
      </c>
      <c r="E88" s="250">
        <f t="shared" si="35"/>
        <v>23213</v>
      </c>
      <c r="F88" s="250">
        <f t="shared" si="35"/>
        <v>23039</v>
      </c>
      <c r="G88" s="250">
        <f t="shared" si="35"/>
        <v>22866</v>
      </c>
      <c r="H88" s="320">
        <f t="shared" ref="H88:AB88" si="36">ROUND(G88*(1-$D$39),0)</f>
        <v>22695</v>
      </c>
      <c r="I88" s="320">
        <f t="shared" si="36"/>
        <v>22525</v>
      </c>
      <c r="J88" s="320">
        <f t="shared" si="36"/>
        <v>22356</v>
      </c>
      <c r="K88" s="320">
        <f t="shared" si="36"/>
        <v>22188</v>
      </c>
      <c r="L88" s="320">
        <f t="shared" si="36"/>
        <v>22022</v>
      </c>
      <c r="M88" s="320">
        <f t="shared" si="36"/>
        <v>21857</v>
      </c>
      <c r="N88" s="320">
        <f t="shared" si="36"/>
        <v>21693</v>
      </c>
      <c r="O88" s="320">
        <f t="shared" si="36"/>
        <v>21530</v>
      </c>
      <c r="P88" s="320">
        <f t="shared" si="36"/>
        <v>21369</v>
      </c>
      <c r="Q88" s="320">
        <f t="shared" si="36"/>
        <v>21209</v>
      </c>
      <c r="R88" s="320">
        <f t="shared" si="36"/>
        <v>21050</v>
      </c>
      <c r="S88" s="320">
        <f t="shared" si="36"/>
        <v>20892</v>
      </c>
      <c r="T88" s="320">
        <f t="shared" si="36"/>
        <v>20735</v>
      </c>
      <c r="U88" s="320">
        <f t="shared" si="36"/>
        <v>20579</v>
      </c>
      <c r="V88" s="320">
        <f t="shared" si="36"/>
        <v>20425</v>
      </c>
      <c r="W88" s="320">
        <f t="shared" si="36"/>
        <v>20272</v>
      </c>
      <c r="X88" s="320">
        <f t="shared" si="36"/>
        <v>20120</v>
      </c>
      <c r="Y88" s="320">
        <f t="shared" si="36"/>
        <v>19969</v>
      </c>
      <c r="Z88" s="320">
        <f t="shared" si="36"/>
        <v>19819</v>
      </c>
      <c r="AA88" s="320">
        <f t="shared" si="36"/>
        <v>19670</v>
      </c>
      <c r="AB88" s="320">
        <f t="shared" si="36"/>
        <v>19522</v>
      </c>
    </row>
    <row r="89" spans="2:28" outlineLevel="1" x14ac:dyDescent="0.2">
      <c r="B89" s="321" t="s">
        <v>459</v>
      </c>
      <c r="C89" s="333" t="s">
        <v>407</v>
      </c>
      <c r="D89" s="250">
        <f t="shared" si="35"/>
        <v>5023.0520000000033</v>
      </c>
      <c r="E89" s="250">
        <f t="shared" si="35"/>
        <v>5061.5152174619179</v>
      </c>
      <c r="F89" s="250">
        <f t="shared" si="35"/>
        <v>5099.4347316310559</v>
      </c>
      <c r="G89" s="250">
        <f t="shared" si="35"/>
        <v>5136.8411874203994</v>
      </c>
      <c r="H89" s="320">
        <f t="shared" ref="H89:AB89" si="37">H90-H88</f>
        <v>4919.6402005240234</v>
      </c>
      <c r="I89" s="320">
        <f t="shared" si="37"/>
        <v>4707.6106230353835</v>
      </c>
      <c r="J89" s="320">
        <f t="shared" si="37"/>
        <v>4500.634871819515</v>
      </c>
      <c r="K89" s="320">
        <f t="shared" si="37"/>
        <v>4298.5983319539082</v>
      </c>
      <c r="L89" s="320">
        <f t="shared" si="37"/>
        <v>4101.5755126572803</v>
      </c>
      <c r="M89" s="320">
        <f t="shared" si="37"/>
        <v>3909.2564247654118</v>
      </c>
      <c r="N89" s="320">
        <f t="shared" si="37"/>
        <v>3721.5350880618607</v>
      </c>
      <c r="O89" s="320">
        <f t="shared" si="37"/>
        <v>3538.3081317725992</v>
      </c>
      <c r="P89" s="320">
        <f t="shared" si="37"/>
        <v>3359.6319346402233</v>
      </c>
      <c r="Q89" s="320">
        <f t="shared" si="37"/>
        <v>3185.2368150658695</v>
      </c>
      <c r="R89" s="320">
        <f t="shared" si="37"/>
        <v>3015.0270183755456</v>
      </c>
      <c r="S89" s="320">
        <f t="shared" si="37"/>
        <v>2848.9090909090919</v>
      </c>
      <c r="T89" s="320">
        <f t="shared" si="37"/>
        <v>2827.5</v>
      </c>
      <c r="U89" s="320">
        <f t="shared" si="37"/>
        <v>2806.2272727272721</v>
      </c>
      <c r="V89" s="320">
        <f t="shared" si="37"/>
        <v>2785.2272727272721</v>
      </c>
      <c r="W89" s="320">
        <f t="shared" si="37"/>
        <v>2764.363636363636</v>
      </c>
      <c r="X89" s="320">
        <f t="shared" si="37"/>
        <v>2743.636363636364</v>
      </c>
      <c r="Y89" s="320">
        <f t="shared" si="37"/>
        <v>2723.0454545454559</v>
      </c>
      <c r="Z89" s="320">
        <f t="shared" si="37"/>
        <v>2702.5909090909081</v>
      </c>
      <c r="AA89" s="320">
        <f t="shared" si="37"/>
        <v>2682.2727272727279</v>
      </c>
      <c r="AB89" s="320">
        <f t="shared" si="37"/>
        <v>2662.0909090909081</v>
      </c>
    </row>
    <row r="90" spans="2:28" outlineLevel="1" x14ac:dyDescent="0.2">
      <c r="B90" s="321" t="s">
        <v>458</v>
      </c>
      <c r="C90" s="333" t="s">
        <v>407</v>
      </c>
      <c r="D90" s="250">
        <f t="shared" si="35"/>
        <v>28411.15</v>
      </c>
      <c r="E90" s="250">
        <f t="shared" si="35"/>
        <v>28274.515217461918</v>
      </c>
      <c r="F90" s="250">
        <f t="shared" si="35"/>
        <v>28138.434731631056</v>
      </c>
      <c r="G90" s="250">
        <f t="shared" si="35"/>
        <v>28002.841187420399</v>
      </c>
      <c r="H90" s="320">
        <f t="shared" ref="H90:AB90" si="38">H88/(1-H93)</f>
        <v>27614.640200524023</v>
      </c>
      <c r="I90" s="320">
        <f t="shared" si="38"/>
        <v>27232.610623035383</v>
      </c>
      <c r="J90" s="320">
        <f t="shared" si="38"/>
        <v>26856.634871819515</v>
      </c>
      <c r="K90" s="320">
        <f t="shared" si="38"/>
        <v>26486.598331953908</v>
      </c>
      <c r="L90" s="320">
        <f t="shared" si="38"/>
        <v>26123.57551265728</v>
      </c>
      <c r="M90" s="320">
        <f t="shared" si="38"/>
        <v>25766.256424765412</v>
      </c>
      <c r="N90" s="320">
        <f t="shared" si="38"/>
        <v>25414.535088061861</v>
      </c>
      <c r="O90" s="320">
        <f t="shared" si="38"/>
        <v>25068.308131772599</v>
      </c>
      <c r="P90" s="320">
        <f t="shared" si="38"/>
        <v>24728.631934640223</v>
      </c>
      <c r="Q90" s="320">
        <f t="shared" si="38"/>
        <v>24394.236815065869</v>
      </c>
      <c r="R90" s="320">
        <f t="shared" si="38"/>
        <v>24065.027018375546</v>
      </c>
      <c r="S90" s="320">
        <f t="shared" si="38"/>
        <v>23740.909090909092</v>
      </c>
      <c r="T90" s="320">
        <f t="shared" si="38"/>
        <v>23562.5</v>
      </c>
      <c r="U90" s="320">
        <f t="shared" si="38"/>
        <v>23385.227272727272</v>
      </c>
      <c r="V90" s="320">
        <f t="shared" si="38"/>
        <v>23210.227272727272</v>
      </c>
      <c r="W90" s="320">
        <f t="shared" si="38"/>
        <v>23036.363636363636</v>
      </c>
      <c r="X90" s="320">
        <f t="shared" si="38"/>
        <v>22863.636363636364</v>
      </c>
      <c r="Y90" s="320">
        <f t="shared" si="38"/>
        <v>22692.045454545456</v>
      </c>
      <c r="Z90" s="320">
        <f t="shared" si="38"/>
        <v>22521.590909090908</v>
      </c>
      <c r="AA90" s="320">
        <f t="shared" si="38"/>
        <v>22352.272727272728</v>
      </c>
      <c r="AB90" s="320">
        <f t="shared" si="38"/>
        <v>22184.090909090908</v>
      </c>
    </row>
    <row r="91" spans="2:28" outlineLevel="1" x14ac:dyDescent="0.2">
      <c r="B91" s="331" t="s">
        <v>457</v>
      </c>
      <c r="C91" s="331" t="s">
        <v>407</v>
      </c>
      <c r="D91" s="330">
        <v>2250</v>
      </c>
      <c r="E91" s="330">
        <f t="shared" ref="E91:AA91" si="39">E45/D45*D91</f>
        <v>2233.1550859757817</v>
      </c>
      <c r="F91" s="330">
        <f t="shared" si="39"/>
        <v>2216.4158026018195</v>
      </c>
      <c r="G91" s="330">
        <f t="shared" si="39"/>
        <v>2199.7727220058687</v>
      </c>
      <c r="H91" s="330">
        <f t="shared" si="39"/>
        <v>2183.3220469659404</v>
      </c>
      <c r="I91" s="330">
        <f t="shared" si="39"/>
        <v>2166.9675747040233</v>
      </c>
      <c r="J91" s="330">
        <f t="shared" si="39"/>
        <v>2150.7093052201176</v>
      </c>
      <c r="K91" s="330">
        <f t="shared" si="39"/>
        <v>2134.547238514223</v>
      </c>
      <c r="L91" s="330">
        <f t="shared" si="39"/>
        <v>2118.5775773643509</v>
      </c>
      <c r="M91" s="330">
        <f t="shared" si="39"/>
        <v>2102.7041189924898</v>
      </c>
      <c r="N91" s="330">
        <f t="shared" si="39"/>
        <v>2086.9268633986403</v>
      </c>
      <c r="O91" s="330">
        <f t="shared" si="39"/>
        <v>2071.2458105828023</v>
      </c>
      <c r="P91" s="330">
        <f t="shared" si="39"/>
        <v>2055.7571633229868</v>
      </c>
      <c r="Q91" s="330">
        <f t="shared" si="39"/>
        <v>2040.3647188411826</v>
      </c>
      <c r="R91" s="330">
        <f t="shared" si="39"/>
        <v>2025.0684771373894</v>
      </c>
      <c r="S91" s="330">
        <f t="shared" si="39"/>
        <v>2009.8684382116076</v>
      </c>
      <c r="T91" s="330">
        <f t="shared" si="39"/>
        <v>1994.7646020638369</v>
      </c>
      <c r="U91" s="330">
        <f t="shared" si="39"/>
        <v>1979.7569686940776</v>
      </c>
      <c r="V91" s="330">
        <f t="shared" si="39"/>
        <v>1964.9417408803408</v>
      </c>
      <c r="W91" s="330">
        <f t="shared" si="39"/>
        <v>1950.2227158446155</v>
      </c>
      <c r="X91" s="330">
        <f t="shared" si="39"/>
        <v>1935.5998935869013</v>
      </c>
      <c r="Y91" s="330">
        <f t="shared" si="39"/>
        <v>1921.0732741071984</v>
      </c>
      <c r="Z91" s="330">
        <f t="shared" si="39"/>
        <v>1906.6428574055067</v>
      </c>
      <c r="AA91" s="330">
        <f t="shared" si="39"/>
        <v>1892.3086434818265</v>
      </c>
      <c r="AB91" s="329"/>
    </row>
    <row r="92" spans="2:28" outlineLevel="1" x14ac:dyDescent="0.2">
      <c r="B92" s="332" t="s">
        <v>456</v>
      </c>
      <c r="C92" s="331" t="s">
        <v>407</v>
      </c>
      <c r="D92" s="330">
        <f t="shared" ref="D92:AA92" si="40">D88-D91</f>
        <v>21138.097999999998</v>
      </c>
      <c r="E92" s="330">
        <f t="shared" si="40"/>
        <v>20979.844914024219</v>
      </c>
      <c r="F92" s="330">
        <f t="shared" si="40"/>
        <v>20822.584197398181</v>
      </c>
      <c r="G92" s="330">
        <f t="shared" si="40"/>
        <v>20666.22727799413</v>
      </c>
      <c r="H92" s="330">
        <f t="shared" si="40"/>
        <v>20511.677953034061</v>
      </c>
      <c r="I92" s="330">
        <f t="shared" si="40"/>
        <v>20358.032425295976</v>
      </c>
      <c r="J92" s="330">
        <f t="shared" si="40"/>
        <v>20205.290694779884</v>
      </c>
      <c r="K92" s="330">
        <f t="shared" si="40"/>
        <v>20053.452761485776</v>
      </c>
      <c r="L92" s="330">
        <f t="shared" si="40"/>
        <v>19903.422422635649</v>
      </c>
      <c r="M92" s="330">
        <f t="shared" si="40"/>
        <v>19754.295881007511</v>
      </c>
      <c r="N92" s="330">
        <f t="shared" si="40"/>
        <v>19606.073136601361</v>
      </c>
      <c r="O92" s="330">
        <f t="shared" si="40"/>
        <v>19458.754189417199</v>
      </c>
      <c r="P92" s="330">
        <f t="shared" si="40"/>
        <v>19313.242836677015</v>
      </c>
      <c r="Q92" s="330">
        <f t="shared" si="40"/>
        <v>19168.635281158819</v>
      </c>
      <c r="R92" s="330">
        <f t="shared" si="40"/>
        <v>19024.931522862611</v>
      </c>
      <c r="S92" s="330">
        <f t="shared" si="40"/>
        <v>18882.131561788392</v>
      </c>
      <c r="T92" s="330">
        <f t="shared" si="40"/>
        <v>18740.235397936161</v>
      </c>
      <c r="U92" s="330">
        <f t="shared" si="40"/>
        <v>18599.243031305923</v>
      </c>
      <c r="V92" s="330">
        <f t="shared" si="40"/>
        <v>18460.058259119658</v>
      </c>
      <c r="W92" s="330">
        <f t="shared" si="40"/>
        <v>18321.777284155385</v>
      </c>
      <c r="X92" s="330">
        <f t="shared" si="40"/>
        <v>18184.400106413097</v>
      </c>
      <c r="Y92" s="330">
        <f t="shared" si="40"/>
        <v>18047.926725892801</v>
      </c>
      <c r="Z92" s="330">
        <f t="shared" si="40"/>
        <v>17912.357142594494</v>
      </c>
      <c r="AA92" s="330">
        <f t="shared" si="40"/>
        <v>17777.691356518175</v>
      </c>
      <c r="AB92" s="329"/>
    </row>
    <row r="93" spans="2:28" s="327" customFormat="1" hidden="1" outlineLevel="1" x14ac:dyDescent="0.2">
      <c r="C93" s="328"/>
      <c r="G93" s="326">
        <f>G48</f>
        <v>0.18344000000000005</v>
      </c>
      <c r="H93" s="326">
        <f t="shared" ref="H93:R93" si="41">G93+($S$93-$G$93)/12</f>
        <v>0.17815333333333339</v>
      </c>
      <c r="I93" s="326">
        <f t="shared" si="41"/>
        <v>0.17286666666666672</v>
      </c>
      <c r="J93" s="326">
        <f t="shared" si="41"/>
        <v>0.16758000000000006</v>
      </c>
      <c r="K93" s="326">
        <f t="shared" si="41"/>
        <v>0.1622933333333334</v>
      </c>
      <c r="L93" s="326">
        <f t="shared" si="41"/>
        <v>0.15700666666666674</v>
      </c>
      <c r="M93" s="326">
        <f t="shared" si="41"/>
        <v>0.15172000000000008</v>
      </c>
      <c r="N93" s="326">
        <f t="shared" si="41"/>
        <v>0.14643333333333342</v>
      </c>
      <c r="O93" s="326">
        <f t="shared" si="41"/>
        <v>0.14114666666666675</v>
      </c>
      <c r="P93" s="326">
        <f t="shared" si="41"/>
        <v>0.13586000000000009</v>
      </c>
      <c r="Q93" s="326">
        <f t="shared" si="41"/>
        <v>0.13057333333333343</v>
      </c>
      <c r="R93" s="326">
        <f t="shared" si="41"/>
        <v>0.12528666666666677</v>
      </c>
      <c r="S93" s="326">
        <f>D81</f>
        <v>0.12</v>
      </c>
      <c r="T93" s="326">
        <f t="shared" ref="T93:AB93" si="42">S93</f>
        <v>0.12</v>
      </c>
      <c r="U93" s="326">
        <f t="shared" si="42"/>
        <v>0.12</v>
      </c>
      <c r="V93" s="326">
        <f t="shared" si="42"/>
        <v>0.12</v>
      </c>
      <c r="W93" s="326">
        <f t="shared" si="42"/>
        <v>0.12</v>
      </c>
      <c r="X93" s="326">
        <f t="shared" si="42"/>
        <v>0.12</v>
      </c>
      <c r="Y93" s="326">
        <f t="shared" si="42"/>
        <v>0.12</v>
      </c>
      <c r="Z93" s="326">
        <f t="shared" si="42"/>
        <v>0.12</v>
      </c>
      <c r="AA93" s="326">
        <f t="shared" si="42"/>
        <v>0.12</v>
      </c>
      <c r="AB93" s="326">
        <f t="shared" si="42"/>
        <v>0.12</v>
      </c>
    </row>
    <row r="94" spans="2:28" outlineLevel="1" x14ac:dyDescent="0.2">
      <c r="C94" s="172"/>
      <c r="G94" s="326"/>
      <c r="H94" s="326"/>
      <c r="I94" s="326"/>
      <c r="J94" s="326"/>
      <c r="K94" s="326"/>
      <c r="L94" s="326"/>
      <c r="M94" s="326"/>
      <c r="N94" s="326"/>
      <c r="O94" s="326"/>
      <c r="P94" s="326"/>
      <c r="Q94" s="326"/>
      <c r="R94" s="326"/>
      <c r="S94" s="326"/>
      <c r="T94" s="326"/>
      <c r="U94" s="326"/>
      <c r="V94" s="326"/>
      <c r="W94" s="326"/>
      <c r="X94" s="326"/>
      <c r="Y94" s="326"/>
      <c r="Z94" s="326"/>
      <c r="AA94" s="326"/>
      <c r="AB94" s="326"/>
    </row>
    <row r="95" spans="2:28" outlineLevel="1" x14ac:dyDescent="0.2">
      <c r="B95" s="182" t="s">
        <v>287</v>
      </c>
      <c r="C95" s="172"/>
      <c r="D95" s="326"/>
      <c r="E95" s="326"/>
      <c r="F95" s="326"/>
      <c r="G95" s="326">
        <v>0.01</v>
      </c>
      <c r="H95" s="326"/>
      <c r="I95" s="326"/>
      <c r="J95" s="326"/>
      <c r="K95" s="326"/>
      <c r="L95" s="326"/>
      <c r="M95" s="326"/>
      <c r="N95" s="326"/>
      <c r="O95" s="326"/>
      <c r="P95" s="326"/>
      <c r="Q95" s="326"/>
      <c r="R95" s="326"/>
      <c r="S95" s="326"/>
      <c r="T95" s="326"/>
      <c r="U95" s="326"/>
      <c r="V95" s="326"/>
      <c r="W95" s="326"/>
      <c r="X95" s="326"/>
      <c r="Y95" s="326"/>
      <c r="Z95" s="326"/>
      <c r="AA95" s="326"/>
      <c r="AB95" s="326"/>
    </row>
    <row r="96" spans="2:28" outlineLevel="1" x14ac:dyDescent="0.2">
      <c r="B96" s="169" t="s">
        <v>455</v>
      </c>
      <c r="C96" s="311" t="s">
        <v>451</v>
      </c>
      <c r="D96" s="324">
        <f>D50</f>
        <v>12.5</v>
      </c>
      <c r="E96" s="324">
        <f>E50</f>
        <v>12.5</v>
      </c>
      <c r="F96" s="324">
        <f>F50</f>
        <v>12.5</v>
      </c>
      <c r="G96" s="324">
        <v>3500</v>
      </c>
      <c r="H96" s="324">
        <v>60</v>
      </c>
      <c r="I96" s="324">
        <f t="shared" ref="I96:AB96" si="43">H96</f>
        <v>60</v>
      </c>
      <c r="J96" s="324">
        <f t="shared" si="43"/>
        <v>60</v>
      </c>
      <c r="K96" s="324">
        <f t="shared" si="43"/>
        <v>60</v>
      </c>
      <c r="L96" s="324">
        <f t="shared" si="43"/>
        <v>60</v>
      </c>
      <c r="M96" s="324">
        <f t="shared" si="43"/>
        <v>60</v>
      </c>
      <c r="N96" s="324">
        <f t="shared" si="43"/>
        <v>60</v>
      </c>
      <c r="O96" s="324">
        <f t="shared" si="43"/>
        <v>60</v>
      </c>
      <c r="P96" s="324">
        <f t="shared" si="43"/>
        <v>60</v>
      </c>
      <c r="Q96" s="324">
        <f t="shared" si="43"/>
        <v>60</v>
      </c>
      <c r="R96" s="324">
        <f t="shared" si="43"/>
        <v>60</v>
      </c>
      <c r="S96" s="324">
        <f t="shared" si="43"/>
        <v>60</v>
      </c>
      <c r="T96" s="324">
        <f t="shared" si="43"/>
        <v>60</v>
      </c>
      <c r="U96" s="324">
        <f t="shared" si="43"/>
        <v>60</v>
      </c>
      <c r="V96" s="324">
        <f t="shared" si="43"/>
        <v>60</v>
      </c>
      <c r="W96" s="324">
        <f t="shared" si="43"/>
        <v>60</v>
      </c>
      <c r="X96" s="324">
        <f t="shared" si="43"/>
        <v>60</v>
      </c>
      <c r="Y96" s="324">
        <f t="shared" si="43"/>
        <v>60</v>
      </c>
      <c r="Z96" s="324">
        <f t="shared" si="43"/>
        <v>60</v>
      </c>
      <c r="AA96" s="324">
        <f t="shared" si="43"/>
        <v>60</v>
      </c>
      <c r="AB96" s="324">
        <f t="shared" si="43"/>
        <v>60</v>
      </c>
    </row>
    <row r="97" spans="2:28" outlineLevel="1" x14ac:dyDescent="0.2">
      <c r="B97" s="169" t="s">
        <v>454</v>
      </c>
      <c r="C97" s="311" t="s">
        <v>451</v>
      </c>
      <c r="D97" s="324">
        <v>0</v>
      </c>
      <c r="E97" s="324">
        <v>0</v>
      </c>
      <c r="F97" s="324">
        <v>0</v>
      </c>
      <c r="G97" s="324">
        <v>3500</v>
      </c>
      <c r="H97" s="324">
        <v>0</v>
      </c>
      <c r="I97" s="324">
        <v>0</v>
      </c>
      <c r="J97" s="324">
        <v>0</v>
      </c>
      <c r="K97" s="324">
        <v>0</v>
      </c>
      <c r="L97" s="324">
        <v>0</v>
      </c>
      <c r="M97" s="324">
        <v>0</v>
      </c>
      <c r="N97" s="324">
        <v>0</v>
      </c>
      <c r="O97" s="324">
        <v>0</v>
      </c>
      <c r="P97" s="325">
        <v>200</v>
      </c>
      <c r="Q97" s="324">
        <v>0</v>
      </c>
      <c r="R97" s="324">
        <v>0</v>
      </c>
      <c r="S97" s="324">
        <v>0</v>
      </c>
      <c r="T97" s="324">
        <v>0</v>
      </c>
      <c r="U97" s="324">
        <v>0</v>
      </c>
      <c r="V97" s="324">
        <v>0</v>
      </c>
      <c r="W97" s="324">
        <v>0</v>
      </c>
      <c r="X97" s="324">
        <v>0</v>
      </c>
      <c r="Y97" s="324">
        <v>0</v>
      </c>
      <c r="Z97" s="325">
        <v>500</v>
      </c>
      <c r="AA97" s="324">
        <v>0</v>
      </c>
      <c r="AB97" s="324">
        <v>0</v>
      </c>
    </row>
    <row r="98" spans="2:28" outlineLevel="1" x14ac:dyDescent="0.2">
      <c r="B98" s="169" t="s">
        <v>453</v>
      </c>
      <c r="C98" s="311" t="s">
        <v>451</v>
      </c>
      <c r="D98" s="323">
        <f>D96</f>
        <v>12.5</v>
      </c>
      <c r="E98" s="323">
        <f t="shared" ref="E98:AB98" si="44">E96*(1-$D$7)+E96*$D$7*(1+E$6)</f>
        <v>12.608000000000001</v>
      </c>
      <c r="F98" s="323">
        <f t="shared" si="44"/>
        <v>12.719456000000001</v>
      </c>
      <c r="G98" s="323">
        <f t="shared" si="44"/>
        <v>3585.60242432</v>
      </c>
      <c r="H98" s="323">
        <f t="shared" si="44"/>
        <v>61.891489414348797</v>
      </c>
      <c r="I98" s="323">
        <f t="shared" si="44"/>
        <v>62.271410692050125</v>
      </c>
      <c r="J98" s="323">
        <f t="shared" si="44"/>
        <v>62.659310316583174</v>
      </c>
      <c r="K98" s="323">
        <f t="shared" si="44"/>
        <v>63.055355833231417</v>
      </c>
      <c r="L98" s="323">
        <f t="shared" si="44"/>
        <v>63.459718305729282</v>
      </c>
      <c r="M98" s="323">
        <f t="shared" si="44"/>
        <v>63.872572390149585</v>
      </c>
      <c r="N98" s="323">
        <f t="shared" si="44"/>
        <v>64.294096410342732</v>
      </c>
      <c r="O98" s="323">
        <f t="shared" si="44"/>
        <v>64.724472434959921</v>
      </c>
      <c r="P98" s="323">
        <f t="shared" si="44"/>
        <v>65.163886356094082</v>
      </c>
      <c r="Q98" s="323">
        <f t="shared" si="44"/>
        <v>65.612527969572056</v>
      </c>
      <c r="R98" s="323">
        <f t="shared" si="44"/>
        <v>66.070591056933068</v>
      </c>
      <c r="S98" s="323">
        <f t="shared" si="44"/>
        <v>66.538273469128654</v>
      </c>
      <c r="T98" s="323">
        <f t="shared" si="44"/>
        <v>67.015777211980364</v>
      </c>
      <c r="U98" s="323">
        <f t="shared" si="44"/>
        <v>67.503308533431948</v>
      </c>
      <c r="V98" s="323">
        <f t="shared" si="44"/>
        <v>68.001078012634025</v>
      </c>
      <c r="W98" s="323">
        <f t="shared" si="44"/>
        <v>68.50930065089932</v>
      </c>
      <c r="X98" s="323">
        <f t="shared" si="44"/>
        <v>69.028195964568212</v>
      </c>
      <c r="Y98" s="323">
        <f t="shared" si="44"/>
        <v>69.557988079824142</v>
      </c>
      <c r="Z98" s="323">
        <f t="shared" si="44"/>
        <v>70.098905829500438</v>
      </c>
      <c r="AA98" s="323">
        <f t="shared" si="44"/>
        <v>70.651182851919955</v>
      </c>
      <c r="AB98" s="323">
        <f t="shared" si="44"/>
        <v>71.215057691810273</v>
      </c>
    </row>
    <row r="99" spans="2:28" outlineLevel="1" x14ac:dyDescent="0.2">
      <c r="B99" s="169" t="s">
        <v>452</v>
      </c>
      <c r="C99" s="311" t="s">
        <v>451</v>
      </c>
      <c r="D99" s="323">
        <f>D97*(1-$D$7)+D97*$D$7*(1+D$6)</f>
        <v>0</v>
      </c>
      <c r="E99" s="323">
        <f t="shared" ref="E99:AB99" si="45">E97*(1-$D$7)+E97*$D$7*(1+E$6)</f>
        <v>0</v>
      </c>
      <c r="F99" s="323">
        <f t="shared" si="45"/>
        <v>0</v>
      </c>
      <c r="G99" s="323">
        <f t="shared" si="45"/>
        <v>3585.60242432</v>
      </c>
      <c r="H99" s="323">
        <f t="shared" si="45"/>
        <v>0</v>
      </c>
      <c r="I99" s="323">
        <f t="shared" si="45"/>
        <v>0</v>
      </c>
      <c r="J99" s="323">
        <f t="shared" si="45"/>
        <v>0</v>
      </c>
      <c r="K99" s="323">
        <f t="shared" si="45"/>
        <v>0</v>
      </c>
      <c r="L99" s="323">
        <f t="shared" si="45"/>
        <v>0</v>
      </c>
      <c r="M99" s="323">
        <f t="shared" si="45"/>
        <v>0</v>
      </c>
      <c r="N99" s="323">
        <f t="shared" si="45"/>
        <v>0</v>
      </c>
      <c r="O99" s="323">
        <f t="shared" si="45"/>
        <v>0</v>
      </c>
      <c r="P99" s="323">
        <f t="shared" si="45"/>
        <v>217.21295452031359</v>
      </c>
      <c r="Q99" s="323">
        <f t="shared" si="45"/>
        <v>0</v>
      </c>
      <c r="R99" s="323">
        <f t="shared" si="45"/>
        <v>0</v>
      </c>
      <c r="S99" s="323">
        <f t="shared" si="45"/>
        <v>0</v>
      </c>
      <c r="T99" s="323">
        <f t="shared" si="45"/>
        <v>0</v>
      </c>
      <c r="U99" s="323">
        <f t="shared" si="45"/>
        <v>0</v>
      </c>
      <c r="V99" s="323">
        <f t="shared" si="45"/>
        <v>0</v>
      </c>
      <c r="W99" s="323">
        <f t="shared" si="45"/>
        <v>0</v>
      </c>
      <c r="X99" s="323">
        <f t="shared" si="45"/>
        <v>0</v>
      </c>
      <c r="Y99" s="323">
        <f t="shared" si="45"/>
        <v>0</v>
      </c>
      <c r="Z99" s="323">
        <f t="shared" si="45"/>
        <v>584.15754857917034</v>
      </c>
      <c r="AA99" s="323">
        <f t="shared" si="45"/>
        <v>0</v>
      </c>
      <c r="AB99" s="323">
        <f t="shared" si="45"/>
        <v>0</v>
      </c>
    </row>
    <row r="100" spans="2:28" outlineLevel="1" x14ac:dyDescent="0.2">
      <c r="B100" s="169" t="s">
        <v>450</v>
      </c>
      <c r="C100" s="311" t="s">
        <v>448</v>
      </c>
      <c r="D100" s="323">
        <f>D98</f>
        <v>12.5</v>
      </c>
      <c r="E100" s="323">
        <f t="shared" ref="E100:AB100" si="46">E98+D100</f>
        <v>25.108000000000001</v>
      </c>
      <c r="F100" s="323">
        <f t="shared" si="46"/>
        <v>37.827455999999998</v>
      </c>
      <c r="G100" s="323">
        <f t="shared" si="46"/>
        <v>3623.4298803199999</v>
      </c>
      <c r="H100" s="323">
        <f t="shared" si="46"/>
        <v>3685.3213697343485</v>
      </c>
      <c r="I100" s="323">
        <f t="shared" si="46"/>
        <v>3747.5927804263988</v>
      </c>
      <c r="J100" s="323">
        <f t="shared" si="46"/>
        <v>3810.2520907429821</v>
      </c>
      <c r="K100" s="323">
        <f t="shared" si="46"/>
        <v>3873.3074465762134</v>
      </c>
      <c r="L100" s="323">
        <f t="shared" si="46"/>
        <v>3936.7671648819428</v>
      </c>
      <c r="M100" s="323">
        <f t="shared" si="46"/>
        <v>4000.6397372720926</v>
      </c>
      <c r="N100" s="323">
        <f t="shared" si="46"/>
        <v>4064.9338336824353</v>
      </c>
      <c r="O100" s="323">
        <f t="shared" si="46"/>
        <v>4129.6583061173951</v>
      </c>
      <c r="P100" s="323">
        <f t="shared" si="46"/>
        <v>4194.8221924734889</v>
      </c>
      <c r="Q100" s="323">
        <f t="shared" si="46"/>
        <v>4260.4347204430615</v>
      </c>
      <c r="R100" s="323">
        <f t="shared" si="46"/>
        <v>4326.5053114999946</v>
      </c>
      <c r="S100" s="323">
        <f t="shared" si="46"/>
        <v>4393.043584969123</v>
      </c>
      <c r="T100" s="323">
        <f t="shared" si="46"/>
        <v>4460.0593621811031</v>
      </c>
      <c r="U100" s="323">
        <f t="shared" si="46"/>
        <v>4527.5626707145348</v>
      </c>
      <c r="V100" s="323">
        <f t="shared" si="46"/>
        <v>4595.5637487271688</v>
      </c>
      <c r="W100" s="323">
        <f t="shared" si="46"/>
        <v>4664.0730493780684</v>
      </c>
      <c r="X100" s="323">
        <f t="shared" si="46"/>
        <v>4733.1012453426365</v>
      </c>
      <c r="Y100" s="323">
        <f t="shared" si="46"/>
        <v>4802.6592334224606</v>
      </c>
      <c r="Z100" s="323">
        <f t="shared" si="46"/>
        <v>4872.7581392519614</v>
      </c>
      <c r="AA100" s="323">
        <f t="shared" si="46"/>
        <v>4943.4093221038811</v>
      </c>
      <c r="AB100" s="323">
        <f t="shared" si="46"/>
        <v>5014.6243797956913</v>
      </c>
    </row>
    <row r="101" spans="2:28" outlineLevel="1" x14ac:dyDescent="0.2">
      <c r="B101" s="169" t="s">
        <v>449</v>
      </c>
      <c r="C101" s="311" t="s">
        <v>448</v>
      </c>
      <c r="D101" s="323">
        <f>D99</f>
        <v>0</v>
      </c>
      <c r="E101" s="323">
        <f t="shared" ref="E101:Z101" si="47">D101+E99</f>
        <v>0</v>
      </c>
      <c r="F101" s="323">
        <f t="shared" si="47"/>
        <v>0</v>
      </c>
      <c r="G101" s="323">
        <f t="shared" si="47"/>
        <v>3585.60242432</v>
      </c>
      <c r="H101" s="323">
        <f t="shared" si="47"/>
        <v>3585.60242432</v>
      </c>
      <c r="I101" s="323">
        <f t="shared" si="47"/>
        <v>3585.60242432</v>
      </c>
      <c r="J101" s="323">
        <f t="shared" si="47"/>
        <v>3585.60242432</v>
      </c>
      <c r="K101" s="323">
        <f t="shared" si="47"/>
        <v>3585.60242432</v>
      </c>
      <c r="L101" s="323">
        <f t="shared" si="47"/>
        <v>3585.60242432</v>
      </c>
      <c r="M101" s="323">
        <f t="shared" si="47"/>
        <v>3585.60242432</v>
      </c>
      <c r="N101" s="323">
        <f t="shared" si="47"/>
        <v>3585.60242432</v>
      </c>
      <c r="O101" s="323">
        <f t="shared" si="47"/>
        <v>3585.60242432</v>
      </c>
      <c r="P101" s="323">
        <f t="shared" si="47"/>
        <v>3802.8153788403133</v>
      </c>
      <c r="Q101" s="323">
        <f t="shared" si="47"/>
        <v>3802.8153788403133</v>
      </c>
      <c r="R101" s="323">
        <f t="shared" si="47"/>
        <v>3802.8153788403133</v>
      </c>
      <c r="S101" s="323">
        <f t="shared" si="47"/>
        <v>3802.8153788403133</v>
      </c>
      <c r="T101" s="323">
        <f t="shared" si="47"/>
        <v>3802.8153788403133</v>
      </c>
      <c r="U101" s="323">
        <f t="shared" si="47"/>
        <v>3802.8153788403133</v>
      </c>
      <c r="V101" s="323">
        <f t="shared" si="47"/>
        <v>3802.8153788403133</v>
      </c>
      <c r="W101" s="323">
        <f t="shared" si="47"/>
        <v>3802.8153788403133</v>
      </c>
      <c r="X101" s="323">
        <f t="shared" si="47"/>
        <v>3802.8153788403133</v>
      </c>
      <c r="Y101" s="323">
        <f t="shared" si="47"/>
        <v>3802.8153788403133</v>
      </c>
      <c r="Z101" s="323">
        <f t="shared" si="47"/>
        <v>4386.9729274194833</v>
      </c>
      <c r="AA101" s="323">
        <f>Z101+AA99-G101</f>
        <v>801.37050309948336</v>
      </c>
      <c r="AB101" s="323">
        <f>AA101+AB99</f>
        <v>801.37050309948336</v>
      </c>
    </row>
    <row r="102" spans="2:28" outlineLevel="1" x14ac:dyDescent="0.2">
      <c r="B102" s="169" t="s">
        <v>447</v>
      </c>
      <c r="C102" s="311" t="s">
        <v>445</v>
      </c>
      <c r="D102" s="323">
        <f t="shared" ref="D102:AB102" si="48">D100/40</f>
        <v>0.3125</v>
      </c>
      <c r="E102" s="323">
        <f t="shared" si="48"/>
        <v>0.62770000000000004</v>
      </c>
      <c r="F102" s="323">
        <f t="shared" si="48"/>
        <v>0.94568639999999993</v>
      </c>
      <c r="G102" s="323">
        <f t="shared" si="48"/>
        <v>90.585747007999998</v>
      </c>
      <c r="H102" s="323">
        <f t="shared" si="48"/>
        <v>92.133034243358708</v>
      </c>
      <c r="I102" s="323">
        <f t="shared" si="48"/>
        <v>93.689819510659973</v>
      </c>
      <c r="J102" s="323">
        <f t="shared" si="48"/>
        <v>95.256302268574558</v>
      </c>
      <c r="K102" s="323">
        <f t="shared" si="48"/>
        <v>96.832686164405331</v>
      </c>
      <c r="L102" s="323">
        <f t="shared" si="48"/>
        <v>98.419179122048575</v>
      </c>
      <c r="M102" s="323">
        <f t="shared" si="48"/>
        <v>100.01599343180231</v>
      </c>
      <c r="N102" s="323">
        <f t="shared" si="48"/>
        <v>101.62334584206089</v>
      </c>
      <c r="O102" s="323">
        <f t="shared" si="48"/>
        <v>103.24145765293488</v>
      </c>
      <c r="P102" s="323">
        <f t="shared" si="48"/>
        <v>104.87055481183722</v>
      </c>
      <c r="Q102" s="323">
        <f t="shared" si="48"/>
        <v>106.51086801107654</v>
      </c>
      <c r="R102" s="323">
        <f t="shared" si="48"/>
        <v>108.16263278749986</v>
      </c>
      <c r="S102" s="323">
        <f t="shared" si="48"/>
        <v>109.82608962422808</v>
      </c>
      <c r="T102" s="323">
        <f t="shared" si="48"/>
        <v>111.50148405452758</v>
      </c>
      <c r="U102" s="323">
        <f t="shared" si="48"/>
        <v>113.18906676786337</v>
      </c>
      <c r="V102" s="323">
        <f t="shared" si="48"/>
        <v>114.88909371817923</v>
      </c>
      <c r="W102" s="323">
        <f t="shared" si="48"/>
        <v>116.60182623445171</v>
      </c>
      <c r="X102" s="323">
        <f t="shared" si="48"/>
        <v>118.32753113356591</v>
      </c>
      <c r="Y102" s="323">
        <f t="shared" si="48"/>
        <v>120.06648083556152</v>
      </c>
      <c r="Z102" s="323">
        <f t="shared" si="48"/>
        <v>121.81895348129903</v>
      </c>
      <c r="AA102" s="323">
        <f t="shared" si="48"/>
        <v>123.58523305259703</v>
      </c>
      <c r="AB102" s="323">
        <f t="shared" si="48"/>
        <v>125.36560949489228</v>
      </c>
    </row>
    <row r="103" spans="2:28" outlineLevel="1" x14ac:dyDescent="0.2">
      <c r="B103" s="169" t="s">
        <v>446</v>
      </c>
      <c r="C103" s="311" t="s">
        <v>445</v>
      </c>
      <c r="D103" s="323">
        <f t="shared" ref="D103:AB103" si="49">D101/20</f>
        <v>0</v>
      </c>
      <c r="E103" s="323">
        <f t="shared" si="49"/>
        <v>0</v>
      </c>
      <c r="F103" s="323">
        <f t="shared" si="49"/>
        <v>0</v>
      </c>
      <c r="G103" s="323">
        <f t="shared" si="49"/>
        <v>179.280121216</v>
      </c>
      <c r="H103" s="323">
        <f t="shared" si="49"/>
        <v>179.280121216</v>
      </c>
      <c r="I103" s="323">
        <f t="shared" si="49"/>
        <v>179.280121216</v>
      </c>
      <c r="J103" s="323">
        <f t="shared" si="49"/>
        <v>179.280121216</v>
      </c>
      <c r="K103" s="323">
        <f t="shared" si="49"/>
        <v>179.280121216</v>
      </c>
      <c r="L103" s="323">
        <f t="shared" si="49"/>
        <v>179.280121216</v>
      </c>
      <c r="M103" s="323">
        <f t="shared" si="49"/>
        <v>179.280121216</v>
      </c>
      <c r="N103" s="323">
        <f t="shared" si="49"/>
        <v>179.280121216</v>
      </c>
      <c r="O103" s="323">
        <f t="shared" si="49"/>
        <v>179.280121216</v>
      </c>
      <c r="P103" s="323">
        <f t="shared" si="49"/>
        <v>190.14076894201565</v>
      </c>
      <c r="Q103" s="323">
        <f t="shared" si="49"/>
        <v>190.14076894201565</v>
      </c>
      <c r="R103" s="323">
        <f t="shared" si="49"/>
        <v>190.14076894201565</v>
      </c>
      <c r="S103" s="323">
        <f t="shared" si="49"/>
        <v>190.14076894201565</v>
      </c>
      <c r="T103" s="323">
        <f t="shared" si="49"/>
        <v>190.14076894201565</v>
      </c>
      <c r="U103" s="323">
        <f t="shared" si="49"/>
        <v>190.14076894201565</v>
      </c>
      <c r="V103" s="323">
        <f t="shared" si="49"/>
        <v>190.14076894201565</v>
      </c>
      <c r="W103" s="323">
        <f t="shared" si="49"/>
        <v>190.14076894201565</v>
      </c>
      <c r="X103" s="323">
        <f t="shared" si="49"/>
        <v>190.14076894201565</v>
      </c>
      <c r="Y103" s="323">
        <f t="shared" si="49"/>
        <v>190.14076894201565</v>
      </c>
      <c r="Z103" s="323">
        <f t="shared" si="49"/>
        <v>219.34864637097417</v>
      </c>
      <c r="AA103" s="323">
        <f t="shared" si="49"/>
        <v>40.068525154974168</v>
      </c>
      <c r="AB103" s="323">
        <f t="shared" si="49"/>
        <v>40.068525154974168</v>
      </c>
    </row>
    <row r="104" spans="2:28" outlineLevel="1" x14ac:dyDescent="0.2">
      <c r="B104" s="169" t="s">
        <v>444</v>
      </c>
      <c r="C104" s="311" t="s">
        <v>429</v>
      </c>
      <c r="D104" s="322">
        <f t="shared" ref="D104:AB104" si="50">(D102+D103)*1000</f>
        <v>312.5</v>
      </c>
      <c r="E104" s="322">
        <f t="shared" si="50"/>
        <v>627.70000000000005</v>
      </c>
      <c r="F104" s="322">
        <f t="shared" si="50"/>
        <v>945.68639999999994</v>
      </c>
      <c r="G104" s="322">
        <f t="shared" si="50"/>
        <v>269865.86822399998</v>
      </c>
      <c r="H104" s="322">
        <f t="shared" si="50"/>
        <v>271413.15545935871</v>
      </c>
      <c r="I104" s="322">
        <f t="shared" si="50"/>
        <v>272969.94072665996</v>
      </c>
      <c r="J104" s="322">
        <f t="shared" si="50"/>
        <v>274536.4234845746</v>
      </c>
      <c r="K104" s="322">
        <f t="shared" si="50"/>
        <v>276112.80738040537</v>
      </c>
      <c r="L104" s="322">
        <f t="shared" si="50"/>
        <v>277699.3003380486</v>
      </c>
      <c r="M104" s="322">
        <f t="shared" si="50"/>
        <v>279296.11464780231</v>
      </c>
      <c r="N104" s="322">
        <f t="shared" si="50"/>
        <v>280903.46705806087</v>
      </c>
      <c r="O104" s="322">
        <f t="shared" si="50"/>
        <v>282521.57886893483</v>
      </c>
      <c r="P104" s="322">
        <f t="shared" si="50"/>
        <v>295011.32375385286</v>
      </c>
      <c r="Q104" s="322">
        <f t="shared" si="50"/>
        <v>296651.63695309218</v>
      </c>
      <c r="R104" s="322">
        <f t="shared" si="50"/>
        <v>298303.40172951546</v>
      </c>
      <c r="S104" s="322">
        <f t="shared" si="50"/>
        <v>299966.85856624373</v>
      </c>
      <c r="T104" s="322">
        <f t="shared" si="50"/>
        <v>301642.25299654325</v>
      </c>
      <c r="U104" s="322">
        <f t="shared" si="50"/>
        <v>303329.83570987906</v>
      </c>
      <c r="V104" s="322">
        <f t="shared" si="50"/>
        <v>305029.86266019492</v>
      </c>
      <c r="W104" s="322">
        <f t="shared" si="50"/>
        <v>306742.59517646738</v>
      </c>
      <c r="X104" s="322">
        <f t="shared" si="50"/>
        <v>308468.30007558159</v>
      </c>
      <c r="Y104" s="322">
        <f t="shared" si="50"/>
        <v>310207.24977757718</v>
      </c>
      <c r="Z104" s="322">
        <f t="shared" si="50"/>
        <v>341167.59985227324</v>
      </c>
      <c r="AA104" s="322">
        <f t="shared" si="50"/>
        <v>163653.7582075712</v>
      </c>
      <c r="AB104" s="322">
        <f t="shared" si="50"/>
        <v>165434.13464986646</v>
      </c>
    </row>
    <row r="105" spans="2:28" outlineLevel="1" x14ac:dyDescent="0.2">
      <c r="C105" s="172"/>
    </row>
    <row r="106" spans="2:28" outlineLevel="1" x14ac:dyDescent="0.2">
      <c r="B106" s="182" t="s">
        <v>443</v>
      </c>
      <c r="C106" s="172"/>
    </row>
    <row r="107" spans="2:28" outlineLevel="1" x14ac:dyDescent="0.2">
      <c r="B107" s="321" t="s">
        <v>442</v>
      </c>
      <c r="C107" s="311" t="s">
        <v>429</v>
      </c>
      <c r="D107" s="320">
        <f t="shared" ref="D107:F119" si="51">D61</f>
        <v>1311569</v>
      </c>
      <c r="E107" s="320">
        <f t="shared" si="51"/>
        <v>1305261.407906801</v>
      </c>
      <c r="F107" s="320">
        <f t="shared" si="51"/>
        <v>1298979.4043018536</v>
      </c>
      <c r="G107" s="320">
        <f>G90/F90*F107</f>
        <v>1292719.8798128124</v>
      </c>
      <c r="H107" s="320">
        <f>H90/G90*G107*(1-D84)</f>
        <v>1107913.2199458119</v>
      </c>
      <c r="I107" s="320">
        <f t="shared" ref="I107:AB107" si="52">I90/H90*H107</f>
        <v>1092586.001621166</v>
      </c>
      <c r="J107" s="320">
        <f t="shared" si="52"/>
        <v>1077501.6658439715</v>
      </c>
      <c r="K107" s="320">
        <f t="shared" si="52"/>
        <v>1062655.6142060317</v>
      </c>
      <c r="L107" s="320">
        <f t="shared" si="52"/>
        <v>1048090.9565563151</v>
      </c>
      <c r="M107" s="320">
        <f t="shared" si="52"/>
        <v>1033755.1354722921</v>
      </c>
      <c r="N107" s="320">
        <f t="shared" si="52"/>
        <v>1019643.8989745056</v>
      </c>
      <c r="O107" s="320">
        <f t="shared" si="52"/>
        <v>1005753.0997756374</v>
      </c>
      <c r="P107" s="320">
        <f t="shared" si="52"/>
        <v>992125.1203208575</v>
      </c>
      <c r="Q107" s="320">
        <f t="shared" si="52"/>
        <v>978709.02034738194</v>
      </c>
      <c r="R107" s="320">
        <f t="shared" si="52"/>
        <v>965500.95812964707</v>
      </c>
      <c r="S107" s="320">
        <f t="shared" si="52"/>
        <v>952497.18425991875</v>
      </c>
      <c r="T107" s="320">
        <f t="shared" si="52"/>
        <v>945339.3220194052</v>
      </c>
      <c r="U107" s="320">
        <f t="shared" si="52"/>
        <v>938227.0512581307</v>
      </c>
      <c r="V107" s="320">
        <f t="shared" si="52"/>
        <v>931205.96345533407</v>
      </c>
      <c r="W107" s="320">
        <f t="shared" si="52"/>
        <v>924230.46713177639</v>
      </c>
      <c r="X107" s="320">
        <f t="shared" si="52"/>
        <v>917300.56228745764</v>
      </c>
      <c r="Y107" s="320">
        <f t="shared" si="52"/>
        <v>910416.24892237782</v>
      </c>
      <c r="Z107" s="320">
        <f t="shared" si="52"/>
        <v>903577.52703653683</v>
      </c>
      <c r="AA107" s="320">
        <f t="shared" si="52"/>
        <v>896784.3966299349</v>
      </c>
      <c r="AB107" s="320">
        <f t="shared" si="52"/>
        <v>890036.8577025719</v>
      </c>
    </row>
    <row r="108" spans="2:28" outlineLevel="1" x14ac:dyDescent="0.2">
      <c r="B108" s="321" t="s">
        <v>441</v>
      </c>
      <c r="C108" s="311" t="s">
        <v>429</v>
      </c>
      <c r="D108" s="320">
        <f t="shared" si="51"/>
        <v>5051</v>
      </c>
      <c r="E108" s="320">
        <f t="shared" si="51"/>
        <v>5051</v>
      </c>
      <c r="F108" s="320">
        <f t="shared" si="51"/>
        <v>5051</v>
      </c>
      <c r="G108" s="320">
        <f t="shared" ref="G108:AB108" si="53">F108</f>
        <v>5051</v>
      </c>
      <c r="H108" s="320">
        <f t="shared" si="53"/>
        <v>5051</v>
      </c>
      <c r="I108" s="320">
        <f t="shared" si="53"/>
        <v>5051</v>
      </c>
      <c r="J108" s="320">
        <f t="shared" si="53"/>
        <v>5051</v>
      </c>
      <c r="K108" s="320">
        <f t="shared" si="53"/>
        <v>5051</v>
      </c>
      <c r="L108" s="320">
        <f t="shared" si="53"/>
        <v>5051</v>
      </c>
      <c r="M108" s="320">
        <f t="shared" si="53"/>
        <v>5051</v>
      </c>
      <c r="N108" s="320">
        <f t="shared" si="53"/>
        <v>5051</v>
      </c>
      <c r="O108" s="320">
        <f t="shared" si="53"/>
        <v>5051</v>
      </c>
      <c r="P108" s="320">
        <f t="shared" si="53"/>
        <v>5051</v>
      </c>
      <c r="Q108" s="320">
        <f t="shared" si="53"/>
        <v>5051</v>
      </c>
      <c r="R108" s="320">
        <f t="shared" si="53"/>
        <v>5051</v>
      </c>
      <c r="S108" s="320">
        <f t="shared" si="53"/>
        <v>5051</v>
      </c>
      <c r="T108" s="320">
        <f t="shared" si="53"/>
        <v>5051</v>
      </c>
      <c r="U108" s="320">
        <f t="shared" si="53"/>
        <v>5051</v>
      </c>
      <c r="V108" s="320">
        <f t="shared" si="53"/>
        <v>5051</v>
      </c>
      <c r="W108" s="320">
        <f t="shared" si="53"/>
        <v>5051</v>
      </c>
      <c r="X108" s="320">
        <f t="shared" si="53"/>
        <v>5051</v>
      </c>
      <c r="Y108" s="320">
        <f t="shared" si="53"/>
        <v>5051</v>
      </c>
      <c r="Z108" s="320">
        <f t="shared" si="53"/>
        <v>5051</v>
      </c>
      <c r="AA108" s="320">
        <f t="shared" si="53"/>
        <v>5051</v>
      </c>
      <c r="AB108" s="320">
        <f t="shared" si="53"/>
        <v>5051</v>
      </c>
    </row>
    <row r="109" spans="2:28" outlineLevel="1" x14ac:dyDescent="0.2">
      <c r="B109" s="321" t="s">
        <v>292</v>
      </c>
      <c r="C109" s="311" t="s">
        <v>429</v>
      </c>
      <c r="D109" s="320">
        <f t="shared" si="51"/>
        <v>38629.999999999993</v>
      </c>
      <c r="E109" s="320">
        <f t="shared" si="51"/>
        <v>38629.999999999993</v>
      </c>
      <c r="F109" s="320">
        <f t="shared" si="51"/>
        <v>38629.999999999993</v>
      </c>
      <c r="G109" s="320">
        <f t="shared" ref="G109:AB109" si="54">F109</f>
        <v>38629.999999999993</v>
      </c>
      <c r="H109" s="320">
        <f t="shared" si="54"/>
        <v>38629.999999999993</v>
      </c>
      <c r="I109" s="320">
        <f t="shared" si="54"/>
        <v>38629.999999999993</v>
      </c>
      <c r="J109" s="320">
        <f t="shared" si="54"/>
        <v>38629.999999999993</v>
      </c>
      <c r="K109" s="320">
        <f t="shared" si="54"/>
        <v>38629.999999999993</v>
      </c>
      <c r="L109" s="320">
        <f t="shared" si="54"/>
        <v>38629.999999999993</v>
      </c>
      <c r="M109" s="320">
        <f t="shared" si="54"/>
        <v>38629.999999999993</v>
      </c>
      <c r="N109" s="320">
        <f t="shared" si="54"/>
        <v>38629.999999999993</v>
      </c>
      <c r="O109" s="320">
        <f t="shared" si="54"/>
        <v>38629.999999999993</v>
      </c>
      <c r="P109" s="320">
        <f t="shared" si="54"/>
        <v>38629.999999999993</v>
      </c>
      <c r="Q109" s="320">
        <f t="shared" si="54"/>
        <v>38629.999999999993</v>
      </c>
      <c r="R109" s="320">
        <f t="shared" si="54"/>
        <v>38629.999999999993</v>
      </c>
      <c r="S109" s="320">
        <f t="shared" si="54"/>
        <v>38629.999999999993</v>
      </c>
      <c r="T109" s="320">
        <f t="shared" si="54"/>
        <v>38629.999999999993</v>
      </c>
      <c r="U109" s="320">
        <f t="shared" si="54"/>
        <v>38629.999999999993</v>
      </c>
      <c r="V109" s="320">
        <f t="shared" si="54"/>
        <v>38629.999999999993</v>
      </c>
      <c r="W109" s="320">
        <f t="shared" si="54"/>
        <v>38629.999999999993</v>
      </c>
      <c r="X109" s="320">
        <f t="shared" si="54"/>
        <v>38629.999999999993</v>
      </c>
      <c r="Y109" s="320">
        <f t="shared" si="54"/>
        <v>38629.999999999993</v>
      </c>
      <c r="Z109" s="320">
        <f t="shared" si="54"/>
        <v>38629.999999999993</v>
      </c>
      <c r="AA109" s="320">
        <f t="shared" si="54"/>
        <v>38629.999999999993</v>
      </c>
      <c r="AB109" s="320">
        <f t="shared" si="54"/>
        <v>38629.999999999993</v>
      </c>
    </row>
    <row r="110" spans="2:28" outlineLevel="1" x14ac:dyDescent="0.2">
      <c r="B110" s="321" t="s">
        <v>440</v>
      </c>
      <c r="C110" s="311" t="s">
        <v>429</v>
      </c>
      <c r="D110" s="320">
        <f t="shared" si="51"/>
        <v>821</v>
      </c>
      <c r="E110" s="320">
        <f t="shared" si="51"/>
        <v>821</v>
      </c>
      <c r="F110" s="320">
        <f t="shared" si="51"/>
        <v>821</v>
      </c>
      <c r="G110" s="320">
        <f t="shared" ref="G110:AB110" si="55">F110</f>
        <v>821</v>
      </c>
      <c r="H110" s="320">
        <f t="shared" si="55"/>
        <v>821</v>
      </c>
      <c r="I110" s="320">
        <f t="shared" si="55"/>
        <v>821</v>
      </c>
      <c r="J110" s="320">
        <f t="shared" si="55"/>
        <v>821</v>
      </c>
      <c r="K110" s="320">
        <f t="shared" si="55"/>
        <v>821</v>
      </c>
      <c r="L110" s="320">
        <f t="shared" si="55"/>
        <v>821</v>
      </c>
      <c r="M110" s="320">
        <f t="shared" si="55"/>
        <v>821</v>
      </c>
      <c r="N110" s="320">
        <f t="shared" si="55"/>
        <v>821</v>
      </c>
      <c r="O110" s="320">
        <f t="shared" si="55"/>
        <v>821</v>
      </c>
      <c r="P110" s="320">
        <f t="shared" si="55"/>
        <v>821</v>
      </c>
      <c r="Q110" s="320">
        <f t="shared" si="55"/>
        <v>821</v>
      </c>
      <c r="R110" s="320">
        <f t="shared" si="55"/>
        <v>821</v>
      </c>
      <c r="S110" s="320">
        <f t="shared" si="55"/>
        <v>821</v>
      </c>
      <c r="T110" s="320">
        <f t="shared" si="55"/>
        <v>821</v>
      </c>
      <c r="U110" s="320">
        <f t="shared" si="55"/>
        <v>821</v>
      </c>
      <c r="V110" s="320">
        <f t="shared" si="55"/>
        <v>821</v>
      </c>
      <c r="W110" s="320">
        <f t="shared" si="55"/>
        <v>821</v>
      </c>
      <c r="X110" s="320">
        <f t="shared" si="55"/>
        <v>821</v>
      </c>
      <c r="Y110" s="320">
        <f t="shared" si="55"/>
        <v>821</v>
      </c>
      <c r="Z110" s="320">
        <f t="shared" si="55"/>
        <v>821</v>
      </c>
      <c r="AA110" s="320">
        <f t="shared" si="55"/>
        <v>821</v>
      </c>
      <c r="AB110" s="320">
        <f t="shared" si="55"/>
        <v>821</v>
      </c>
    </row>
    <row r="111" spans="2:28" outlineLevel="1" x14ac:dyDescent="0.2">
      <c r="B111" s="321" t="s">
        <v>439</v>
      </c>
      <c r="C111" s="311" t="s">
        <v>429</v>
      </c>
      <c r="D111" s="320">
        <f t="shared" si="51"/>
        <v>8094.96</v>
      </c>
      <c r="E111" s="320">
        <f t="shared" si="51"/>
        <v>8094.96</v>
      </c>
      <c r="F111" s="320">
        <f t="shared" si="51"/>
        <v>8094.96</v>
      </c>
      <c r="G111" s="320">
        <f t="shared" ref="G111:AB111" si="56">F111</f>
        <v>8094.96</v>
      </c>
      <c r="H111" s="320">
        <f t="shared" si="56"/>
        <v>8094.96</v>
      </c>
      <c r="I111" s="320">
        <f t="shared" si="56"/>
        <v>8094.96</v>
      </c>
      <c r="J111" s="320">
        <f t="shared" si="56"/>
        <v>8094.96</v>
      </c>
      <c r="K111" s="320">
        <f t="shared" si="56"/>
        <v>8094.96</v>
      </c>
      <c r="L111" s="320">
        <f t="shared" si="56"/>
        <v>8094.96</v>
      </c>
      <c r="M111" s="320">
        <f t="shared" si="56"/>
        <v>8094.96</v>
      </c>
      <c r="N111" s="320">
        <f t="shared" si="56"/>
        <v>8094.96</v>
      </c>
      <c r="O111" s="320">
        <f t="shared" si="56"/>
        <v>8094.96</v>
      </c>
      <c r="P111" s="320">
        <f t="shared" si="56"/>
        <v>8094.96</v>
      </c>
      <c r="Q111" s="320">
        <f t="shared" si="56"/>
        <v>8094.96</v>
      </c>
      <c r="R111" s="320">
        <f t="shared" si="56"/>
        <v>8094.96</v>
      </c>
      <c r="S111" s="320">
        <f t="shared" si="56"/>
        <v>8094.96</v>
      </c>
      <c r="T111" s="320">
        <f t="shared" si="56"/>
        <v>8094.96</v>
      </c>
      <c r="U111" s="320">
        <f t="shared" si="56"/>
        <v>8094.96</v>
      </c>
      <c r="V111" s="320">
        <f t="shared" si="56"/>
        <v>8094.96</v>
      </c>
      <c r="W111" s="320">
        <f t="shared" si="56"/>
        <v>8094.96</v>
      </c>
      <c r="X111" s="320">
        <f t="shared" si="56"/>
        <v>8094.96</v>
      </c>
      <c r="Y111" s="320">
        <f t="shared" si="56"/>
        <v>8094.96</v>
      </c>
      <c r="Z111" s="320">
        <f t="shared" si="56"/>
        <v>8094.96</v>
      </c>
      <c r="AA111" s="320">
        <f t="shared" si="56"/>
        <v>8094.96</v>
      </c>
      <c r="AB111" s="320">
        <f t="shared" si="56"/>
        <v>8094.96</v>
      </c>
    </row>
    <row r="112" spans="2:28" outlineLevel="1" x14ac:dyDescent="0.2">
      <c r="B112" s="321" t="s">
        <v>438</v>
      </c>
      <c r="C112" s="311" t="s">
        <v>429</v>
      </c>
      <c r="D112" s="320">
        <f t="shared" si="51"/>
        <v>368900.67700000003</v>
      </c>
      <c r="E112" s="320">
        <f t="shared" si="51"/>
        <v>380705.49866400001</v>
      </c>
      <c r="F112" s="320">
        <f t="shared" si="51"/>
        <v>392888.074621248</v>
      </c>
      <c r="G112" s="320">
        <f>G66</f>
        <v>402317.38841215795</v>
      </c>
      <c r="H112" s="320">
        <f>G112*(1+H5)*(1-D83)</f>
        <v>338277.92646843445</v>
      </c>
      <c r="I112" s="320">
        <f t="shared" ref="I112:AB112" si="57">H112*(1+I5)</f>
        <v>345381.76292427152</v>
      </c>
      <c r="J112" s="320">
        <f t="shared" si="57"/>
        <v>352634.77994568116</v>
      </c>
      <c r="K112" s="320">
        <f t="shared" si="57"/>
        <v>360040.11032454041</v>
      </c>
      <c r="L112" s="320">
        <f t="shared" si="57"/>
        <v>367600.95264135575</v>
      </c>
      <c r="M112" s="320">
        <f t="shared" si="57"/>
        <v>375320.57264682418</v>
      </c>
      <c r="N112" s="320">
        <f t="shared" si="57"/>
        <v>383202.30467240745</v>
      </c>
      <c r="O112" s="320">
        <f t="shared" si="57"/>
        <v>391249.55307052797</v>
      </c>
      <c r="P112" s="320">
        <f t="shared" si="57"/>
        <v>399465.793685009</v>
      </c>
      <c r="Q112" s="320">
        <f t="shared" si="57"/>
        <v>407854.57535239414</v>
      </c>
      <c r="R112" s="320">
        <f t="shared" si="57"/>
        <v>416419.52143479435</v>
      </c>
      <c r="S112" s="320">
        <f t="shared" si="57"/>
        <v>425164.331384925</v>
      </c>
      <c r="T112" s="320">
        <f t="shared" si="57"/>
        <v>434092.78234400839</v>
      </c>
      <c r="U112" s="320">
        <f t="shared" si="57"/>
        <v>443208.73077323253</v>
      </c>
      <c r="V112" s="320">
        <f t="shared" si="57"/>
        <v>452516.11411947035</v>
      </c>
      <c r="W112" s="320">
        <f t="shared" si="57"/>
        <v>462018.95251597918</v>
      </c>
      <c r="X112" s="320">
        <f t="shared" si="57"/>
        <v>471721.3505188147</v>
      </c>
      <c r="Y112" s="320">
        <f t="shared" si="57"/>
        <v>481627.49887970975</v>
      </c>
      <c r="Z112" s="320">
        <f t="shared" si="57"/>
        <v>491741.6763561836</v>
      </c>
      <c r="AA112" s="320">
        <f t="shared" si="57"/>
        <v>502068.25155966339</v>
      </c>
      <c r="AB112" s="320">
        <f t="shared" si="57"/>
        <v>512611.68484241626</v>
      </c>
    </row>
    <row r="113" spans="2:28" outlineLevel="1" x14ac:dyDescent="0.2">
      <c r="B113" s="321" t="s">
        <v>437</v>
      </c>
      <c r="C113" s="311" t="s">
        <v>429</v>
      </c>
      <c r="D113" s="320">
        <f t="shared" si="51"/>
        <v>76702.800000000017</v>
      </c>
      <c r="E113" s="320">
        <f t="shared" si="51"/>
        <v>79770.912000000026</v>
      </c>
      <c r="F113" s="320">
        <f t="shared" si="51"/>
        <v>82961.748480000024</v>
      </c>
      <c r="G113" s="320">
        <f>G67</f>
        <v>86280.218419200028</v>
      </c>
      <c r="H113" s="320">
        <f>G113*(1-$D$82)*(1-$D$83)</f>
        <v>68212.125620826366</v>
      </c>
      <c r="I113" s="320">
        <f t="shared" ref="I113:AB113" si="58">H113*(1-$D$82)</f>
        <v>65483.640595993311</v>
      </c>
      <c r="J113" s="320">
        <f t="shared" si="58"/>
        <v>62864.294972153577</v>
      </c>
      <c r="K113" s="320">
        <f t="shared" si="58"/>
        <v>60349.723173267434</v>
      </c>
      <c r="L113" s="320">
        <f t="shared" si="58"/>
        <v>57935.734246336731</v>
      </c>
      <c r="M113" s="320">
        <f t="shared" si="58"/>
        <v>55618.304876483257</v>
      </c>
      <c r="N113" s="320">
        <f t="shared" si="58"/>
        <v>53393.572681423924</v>
      </c>
      <c r="O113" s="320">
        <f t="shared" si="58"/>
        <v>51257.829774166967</v>
      </c>
      <c r="P113" s="320">
        <f t="shared" si="58"/>
        <v>49207.516583200289</v>
      </c>
      <c r="Q113" s="320">
        <f t="shared" si="58"/>
        <v>47239.215919872273</v>
      </c>
      <c r="R113" s="320">
        <f t="shared" si="58"/>
        <v>45349.647283077378</v>
      </c>
      <c r="S113" s="320">
        <f t="shared" si="58"/>
        <v>43535.661391754278</v>
      </c>
      <c r="T113" s="320">
        <f t="shared" si="58"/>
        <v>41794.234936084104</v>
      </c>
      <c r="U113" s="320">
        <f t="shared" si="58"/>
        <v>40122.465538640739</v>
      </c>
      <c r="V113" s="320">
        <f t="shared" si="58"/>
        <v>38517.566917095108</v>
      </c>
      <c r="W113" s="320">
        <f t="shared" si="58"/>
        <v>36976.864240411305</v>
      </c>
      <c r="X113" s="320">
        <f t="shared" si="58"/>
        <v>35497.789670794853</v>
      </c>
      <c r="Y113" s="320">
        <f t="shared" si="58"/>
        <v>34077.878083963056</v>
      </c>
      <c r="Z113" s="320">
        <f t="shared" si="58"/>
        <v>32714.762960604534</v>
      </c>
      <c r="AA113" s="320">
        <f t="shared" si="58"/>
        <v>31406.172442180352</v>
      </c>
      <c r="AB113" s="320">
        <f t="shared" si="58"/>
        <v>30149.925544493137</v>
      </c>
    </row>
    <row r="114" spans="2:28" outlineLevel="1" x14ac:dyDescent="0.2">
      <c r="B114" s="321" t="s">
        <v>436</v>
      </c>
      <c r="C114" s="311" t="s">
        <v>429</v>
      </c>
      <c r="D114" s="320">
        <f t="shared" si="51"/>
        <v>232904.99999999997</v>
      </c>
      <c r="E114" s="320">
        <f t="shared" si="51"/>
        <v>233532.69999999998</v>
      </c>
      <c r="F114" s="320">
        <f t="shared" si="51"/>
        <v>233850.68639999998</v>
      </c>
      <c r="G114" s="320">
        <f t="shared" ref="G114:AB114" si="59">$F$114+G104</f>
        <v>503716.55462399998</v>
      </c>
      <c r="H114" s="320">
        <f t="shared" si="59"/>
        <v>505263.84185935871</v>
      </c>
      <c r="I114" s="320">
        <f t="shared" si="59"/>
        <v>506820.62712665997</v>
      </c>
      <c r="J114" s="320">
        <f t="shared" si="59"/>
        <v>508387.10988457454</v>
      </c>
      <c r="K114" s="320">
        <f t="shared" si="59"/>
        <v>509963.49378040538</v>
      </c>
      <c r="L114" s="320">
        <f t="shared" si="59"/>
        <v>511549.98673804861</v>
      </c>
      <c r="M114" s="320">
        <f t="shared" si="59"/>
        <v>513146.80104780232</v>
      </c>
      <c r="N114" s="320">
        <f t="shared" si="59"/>
        <v>514754.15345806081</v>
      </c>
      <c r="O114" s="320">
        <f t="shared" si="59"/>
        <v>516372.26526893477</v>
      </c>
      <c r="P114" s="320">
        <f t="shared" si="59"/>
        <v>528862.01015385287</v>
      </c>
      <c r="Q114" s="320">
        <f t="shared" si="59"/>
        <v>530502.32335309219</v>
      </c>
      <c r="R114" s="320">
        <f t="shared" si="59"/>
        <v>532154.08812951541</v>
      </c>
      <c r="S114" s="320">
        <f t="shared" si="59"/>
        <v>533817.54496624367</v>
      </c>
      <c r="T114" s="320">
        <f t="shared" si="59"/>
        <v>535492.9393965432</v>
      </c>
      <c r="U114" s="320">
        <f t="shared" si="59"/>
        <v>537180.52210987906</v>
      </c>
      <c r="V114" s="320">
        <f t="shared" si="59"/>
        <v>538880.54906019487</v>
      </c>
      <c r="W114" s="320">
        <f t="shared" si="59"/>
        <v>540593.28157646733</v>
      </c>
      <c r="X114" s="320">
        <f t="shared" si="59"/>
        <v>542318.98647558154</v>
      </c>
      <c r="Y114" s="320">
        <f t="shared" si="59"/>
        <v>544057.93617757712</v>
      </c>
      <c r="Z114" s="320">
        <f t="shared" si="59"/>
        <v>575018.28625227325</v>
      </c>
      <c r="AA114" s="320">
        <f t="shared" si="59"/>
        <v>397504.44460757117</v>
      </c>
      <c r="AB114" s="320">
        <f t="shared" si="59"/>
        <v>399284.82104986644</v>
      </c>
    </row>
    <row r="115" spans="2:28" outlineLevel="1" x14ac:dyDescent="0.2">
      <c r="B115" s="321" t="s">
        <v>435</v>
      </c>
      <c r="C115" s="311" t="s">
        <v>429</v>
      </c>
      <c r="D115" s="320">
        <f t="shared" si="51"/>
        <v>11540.75</v>
      </c>
      <c r="E115" s="320">
        <f t="shared" si="51"/>
        <v>11540.75</v>
      </c>
      <c r="F115" s="320">
        <f t="shared" si="51"/>
        <v>11540.75</v>
      </c>
      <c r="G115" s="320">
        <f t="shared" ref="G115:AB115" si="60">F115</f>
        <v>11540.75</v>
      </c>
      <c r="H115" s="320">
        <f t="shared" si="60"/>
        <v>11540.75</v>
      </c>
      <c r="I115" s="320">
        <f t="shared" si="60"/>
        <v>11540.75</v>
      </c>
      <c r="J115" s="320">
        <f t="shared" si="60"/>
        <v>11540.75</v>
      </c>
      <c r="K115" s="320">
        <f t="shared" si="60"/>
        <v>11540.75</v>
      </c>
      <c r="L115" s="320">
        <f t="shared" si="60"/>
        <v>11540.75</v>
      </c>
      <c r="M115" s="320">
        <f t="shared" si="60"/>
        <v>11540.75</v>
      </c>
      <c r="N115" s="320">
        <f t="shared" si="60"/>
        <v>11540.75</v>
      </c>
      <c r="O115" s="320">
        <f t="shared" si="60"/>
        <v>11540.75</v>
      </c>
      <c r="P115" s="320">
        <f t="shared" si="60"/>
        <v>11540.75</v>
      </c>
      <c r="Q115" s="320">
        <f t="shared" si="60"/>
        <v>11540.75</v>
      </c>
      <c r="R115" s="320">
        <f t="shared" si="60"/>
        <v>11540.75</v>
      </c>
      <c r="S115" s="320">
        <f t="shared" si="60"/>
        <v>11540.75</v>
      </c>
      <c r="T115" s="320">
        <f t="shared" si="60"/>
        <v>11540.75</v>
      </c>
      <c r="U115" s="320">
        <f t="shared" si="60"/>
        <v>11540.75</v>
      </c>
      <c r="V115" s="320">
        <f t="shared" si="60"/>
        <v>11540.75</v>
      </c>
      <c r="W115" s="320">
        <f t="shared" si="60"/>
        <v>11540.75</v>
      </c>
      <c r="X115" s="320">
        <f t="shared" si="60"/>
        <v>11540.75</v>
      </c>
      <c r="Y115" s="320">
        <f t="shared" si="60"/>
        <v>11540.75</v>
      </c>
      <c r="Z115" s="320">
        <f t="shared" si="60"/>
        <v>11540.75</v>
      </c>
      <c r="AA115" s="320">
        <f t="shared" si="60"/>
        <v>11540.75</v>
      </c>
      <c r="AB115" s="320">
        <f t="shared" si="60"/>
        <v>11540.75</v>
      </c>
    </row>
    <row r="116" spans="2:28" outlineLevel="1" x14ac:dyDescent="0.2">
      <c r="B116" s="321" t="s">
        <v>434</v>
      </c>
      <c r="C116" s="311" t="s">
        <v>429</v>
      </c>
      <c r="D116" s="320">
        <f t="shared" si="51"/>
        <v>17168.371999999999</v>
      </c>
      <c r="E116" s="320">
        <f t="shared" si="51"/>
        <v>17168.371999999999</v>
      </c>
      <c r="F116" s="320">
        <f t="shared" si="51"/>
        <v>17168.371999999999</v>
      </c>
      <c r="G116" s="320">
        <f t="shared" ref="G116:AB116" si="61">F116</f>
        <v>17168.371999999999</v>
      </c>
      <c r="H116" s="320">
        <f t="shared" si="61"/>
        <v>17168.371999999999</v>
      </c>
      <c r="I116" s="320">
        <f t="shared" si="61"/>
        <v>17168.371999999999</v>
      </c>
      <c r="J116" s="320">
        <f t="shared" si="61"/>
        <v>17168.371999999999</v>
      </c>
      <c r="K116" s="320">
        <f t="shared" si="61"/>
        <v>17168.371999999999</v>
      </c>
      <c r="L116" s="320">
        <f t="shared" si="61"/>
        <v>17168.371999999999</v>
      </c>
      <c r="M116" s="320">
        <f t="shared" si="61"/>
        <v>17168.371999999999</v>
      </c>
      <c r="N116" s="320">
        <f t="shared" si="61"/>
        <v>17168.371999999999</v>
      </c>
      <c r="O116" s="320">
        <f t="shared" si="61"/>
        <v>17168.371999999999</v>
      </c>
      <c r="P116" s="320">
        <f t="shared" si="61"/>
        <v>17168.371999999999</v>
      </c>
      <c r="Q116" s="320">
        <f t="shared" si="61"/>
        <v>17168.371999999999</v>
      </c>
      <c r="R116" s="320">
        <f t="shared" si="61"/>
        <v>17168.371999999999</v>
      </c>
      <c r="S116" s="320">
        <f t="shared" si="61"/>
        <v>17168.371999999999</v>
      </c>
      <c r="T116" s="320">
        <f t="shared" si="61"/>
        <v>17168.371999999999</v>
      </c>
      <c r="U116" s="320">
        <f t="shared" si="61"/>
        <v>17168.371999999999</v>
      </c>
      <c r="V116" s="320">
        <f t="shared" si="61"/>
        <v>17168.371999999999</v>
      </c>
      <c r="W116" s="320">
        <f t="shared" si="61"/>
        <v>17168.371999999999</v>
      </c>
      <c r="X116" s="320">
        <f t="shared" si="61"/>
        <v>17168.371999999999</v>
      </c>
      <c r="Y116" s="320">
        <f t="shared" si="61"/>
        <v>17168.371999999999</v>
      </c>
      <c r="Z116" s="320">
        <f t="shared" si="61"/>
        <v>17168.371999999999</v>
      </c>
      <c r="AA116" s="320">
        <f t="shared" si="61"/>
        <v>17168.371999999999</v>
      </c>
      <c r="AB116" s="320">
        <f t="shared" si="61"/>
        <v>17168.371999999999</v>
      </c>
    </row>
    <row r="117" spans="2:28" outlineLevel="1" x14ac:dyDescent="0.2">
      <c r="B117" s="321" t="s">
        <v>291</v>
      </c>
      <c r="C117" s="311" t="s">
        <v>429</v>
      </c>
      <c r="D117" s="320">
        <f t="shared" si="51"/>
        <v>189980.00000000003</v>
      </c>
      <c r="E117" s="320">
        <f t="shared" si="51"/>
        <v>189980.00000000003</v>
      </c>
      <c r="F117" s="320">
        <f t="shared" si="51"/>
        <v>189980.00000000003</v>
      </c>
      <c r="G117" s="320">
        <f>F117</f>
        <v>189980.00000000003</v>
      </c>
      <c r="H117" s="320">
        <f>G117*(1-D83)</f>
        <v>156454.11764705885</v>
      </c>
      <c r="I117" s="320">
        <f t="shared" ref="I117:AB117" si="62">H117</f>
        <v>156454.11764705885</v>
      </c>
      <c r="J117" s="320">
        <f t="shared" si="62"/>
        <v>156454.11764705885</v>
      </c>
      <c r="K117" s="320">
        <f t="shared" si="62"/>
        <v>156454.11764705885</v>
      </c>
      <c r="L117" s="320">
        <f t="shared" si="62"/>
        <v>156454.11764705885</v>
      </c>
      <c r="M117" s="320">
        <f t="shared" si="62"/>
        <v>156454.11764705885</v>
      </c>
      <c r="N117" s="320">
        <f t="shared" si="62"/>
        <v>156454.11764705885</v>
      </c>
      <c r="O117" s="320">
        <f t="shared" si="62"/>
        <v>156454.11764705885</v>
      </c>
      <c r="P117" s="320">
        <f t="shared" si="62"/>
        <v>156454.11764705885</v>
      </c>
      <c r="Q117" s="320">
        <f t="shared" si="62"/>
        <v>156454.11764705885</v>
      </c>
      <c r="R117" s="320">
        <f t="shared" si="62"/>
        <v>156454.11764705885</v>
      </c>
      <c r="S117" s="320">
        <f t="shared" si="62"/>
        <v>156454.11764705885</v>
      </c>
      <c r="T117" s="320">
        <f t="shared" si="62"/>
        <v>156454.11764705885</v>
      </c>
      <c r="U117" s="320">
        <f t="shared" si="62"/>
        <v>156454.11764705885</v>
      </c>
      <c r="V117" s="320">
        <f t="shared" si="62"/>
        <v>156454.11764705885</v>
      </c>
      <c r="W117" s="320">
        <f t="shared" si="62"/>
        <v>156454.11764705885</v>
      </c>
      <c r="X117" s="320">
        <f t="shared" si="62"/>
        <v>156454.11764705885</v>
      </c>
      <c r="Y117" s="320">
        <f t="shared" si="62"/>
        <v>156454.11764705885</v>
      </c>
      <c r="Z117" s="320">
        <f t="shared" si="62"/>
        <v>156454.11764705885</v>
      </c>
      <c r="AA117" s="320">
        <f t="shared" si="62"/>
        <v>156454.11764705885</v>
      </c>
      <c r="AB117" s="320">
        <f t="shared" si="62"/>
        <v>156454.11764705885</v>
      </c>
    </row>
    <row r="118" spans="2:28" outlineLevel="1" x14ac:dyDescent="0.2">
      <c r="B118" s="321" t="s">
        <v>433</v>
      </c>
      <c r="C118" s="311" t="s">
        <v>429</v>
      </c>
      <c r="D118" s="320">
        <f t="shared" si="51"/>
        <v>2440</v>
      </c>
      <c r="E118" s="320">
        <f t="shared" si="51"/>
        <v>2440</v>
      </c>
      <c r="F118" s="320">
        <f t="shared" si="51"/>
        <v>2440</v>
      </c>
      <c r="G118" s="320">
        <f>F118</f>
        <v>2440</v>
      </c>
      <c r="H118" s="320">
        <f>G118</f>
        <v>2440</v>
      </c>
      <c r="I118" s="320">
        <f t="shared" ref="I118:AB118" si="63">H118</f>
        <v>2440</v>
      </c>
      <c r="J118" s="320">
        <f t="shared" si="63"/>
        <v>2440</v>
      </c>
      <c r="K118" s="320">
        <f t="shared" si="63"/>
        <v>2440</v>
      </c>
      <c r="L118" s="320">
        <f t="shared" si="63"/>
        <v>2440</v>
      </c>
      <c r="M118" s="320">
        <f t="shared" si="63"/>
        <v>2440</v>
      </c>
      <c r="N118" s="320">
        <f t="shared" si="63"/>
        <v>2440</v>
      </c>
      <c r="O118" s="320">
        <f t="shared" si="63"/>
        <v>2440</v>
      </c>
      <c r="P118" s="320">
        <f t="shared" si="63"/>
        <v>2440</v>
      </c>
      <c r="Q118" s="320">
        <f t="shared" si="63"/>
        <v>2440</v>
      </c>
      <c r="R118" s="320">
        <f t="shared" si="63"/>
        <v>2440</v>
      </c>
      <c r="S118" s="320">
        <f t="shared" si="63"/>
        <v>2440</v>
      </c>
      <c r="T118" s="320">
        <f t="shared" si="63"/>
        <v>2440</v>
      </c>
      <c r="U118" s="320">
        <f t="shared" si="63"/>
        <v>2440</v>
      </c>
      <c r="V118" s="320">
        <f t="shared" si="63"/>
        <v>2440</v>
      </c>
      <c r="W118" s="320">
        <f t="shared" si="63"/>
        <v>2440</v>
      </c>
      <c r="X118" s="320">
        <f t="shared" si="63"/>
        <v>2440</v>
      </c>
      <c r="Y118" s="320">
        <f t="shared" si="63"/>
        <v>2440</v>
      </c>
      <c r="Z118" s="320">
        <f t="shared" si="63"/>
        <v>2440</v>
      </c>
      <c r="AA118" s="320">
        <f t="shared" si="63"/>
        <v>2440</v>
      </c>
      <c r="AB118" s="320">
        <f t="shared" si="63"/>
        <v>2440</v>
      </c>
    </row>
    <row r="119" spans="2:28" outlineLevel="1" x14ac:dyDescent="0.2">
      <c r="B119" s="321" t="s">
        <v>432</v>
      </c>
      <c r="C119" s="311" t="s">
        <v>429</v>
      </c>
      <c r="D119" s="320">
        <f t="shared" si="51"/>
        <v>-406819.98013163998</v>
      </c>
      <c r="E119" s="320">
        <f t="shared" si="51"/>
        <v>-406819.98013163998</v>
      </c>
      <c r="F119" s="320">
        <f t="shared" si="51"/>
        <v>-406819.98013163998</v>
      </c>
      <c r="G119" s="320">
        <f>G73</f>
        <v>-406819.98013163998</v>
      </c>
      <c r="H119" s="320">
        <f>G119*(1-D85)</f>
        <v>0</v>
      </c>
      <c r="I119" s="320">
        <f t="shared" ref="I119:AB119" si="64">H119</f>
        <v>0</v>
      </c>
      <c r="J119" s="320">
        <f t="shared" si="64"/>
        <v>0</v>
      </c>
      <c r="K119" s="320">
        <f t="shared" si="64"/>
        <v>0</v>
      </c>
      <c r="L119" s="320">
        <f t="shared" si="64"/>
        <v>0</v>
      </c>
      <c r="M119" s="320">
        <f t="shared" si="64"/>
        <v>0</v>
      </c>
      <c r="N119" s="320">
        <f t="shared" si="64"/>
        <v>0</v>
      </c>
      <c r="O119" s="320">
        <f t="shared" si="64"/>
        <v>0</v>
      </c>
      <c r="P119" s="320">
        <f t="shared" si="64"/>
        <v>0</v>
      </c>
      <c r="Q119" s="320">
        <f t="shared" si="64"/>
        <v>0</v>
      </c>
      <c r="R119" s="320">
        <f t="shared" si="64"/>
        <v>0</v>
      </c>
      <c r="S119" s="320">
        <f t="shared" si="64"/>
        <v>0</v>
      </c>
      <c r="T119" s="320">
        <f t="shared" si="64"/>
        <v>0</v>
      </c>
      <c r="U119" s="320">
        <f t="shared" si="64"/>
        <v>0</v>
      </c>
      <c r="V119" s="320">
        <f t="shared" si="64"/>
        <v>0</v>
      </c>
      <c r="W119" s="320">
        <f t="shared" si="64"/>
        <v>0</v>
      </c>
      <c r="X119" s="320">
        <f t="shared" si="64"/>
        <v>0</v>
      </c>
      <c r="Y119" s="320">
        <f t="shared" si="64"/>
        <v>0</v>
      </c>
      <c r="Z119" s="320">
        <f t="shared" si="64"/>
        <v>0</v>
      </c>
      <c r="AA119" s="320">
        <f t="shared" si="64"/>
        <v>0</v>
      </c>
      <c r="AB119" s="320">
        <f t="shared" si="64"/>
        <v>0</v>
      </c>
    </row>
    <row r="120" spans="2:28" outlineLevel="1" x14ac:dyDescent="0.2">
      <c r="B120" s="319" t="s">
        <v>431</v>
      </c>
      <c r="C120" s="318" t="s">
        <v>429</v>
      </c>
      <c r="D120" s="317">
        <f t="shared" ref="D120:AB120" si="65">SUM(D107:D119)</f>
        <v>1856983.5788683603</v>
      </c>
      <c r="E120" s="317">
        <f t="shared" si="65"/>
        <v>1866176.6204391611</v>
      </c>
      <c r="F120" s="317">
        <f t="shared" si="65"/>
        <v>1875586.0156714618</v>
      </c>
      <c r="G120" s="317">
        <f t="shared" si="65"/>
        <v>2151940.1431365302</v>
      </c>
      <c r="H120" s="317">
        <f t="shared" si="65"/>
        <v>2259867.3135414901</v>
      </c>
      <c r="I120" s="317">
        <f t="shared" si="65"/>
        <v>2250472.2319151494</v>
      </c>
      <c r="J120" s="317">
        <f t="shared" si="65"/>
        <v>2241588.0502934395</v>
      </c>
      <c r="K120" s="317">
        <f t="shared" si="65"/>
        <v>2233209.1411313037</v>
      </c>
      <c r="L120" s="317">
        <f t="shared" si="65"/>
        <v>2225377.829829115</v>
      </c>
      <c r="M120" s="317">
        <f t="shared" si="65"/>
        <v>2218041.0136904605</v>
      </c>
      <c r="N120" s="317">
        <f t="shared" si="65"/>
        <v>2211194.1294334563</v>
      </c>
      <c r="O120" s="317">
        <f t="shared" si="65"/>
        <v>2204832.9475363255</v>
      </c>
      <c r="P120" s="317">
        <f t="shared" si="65"/>
        <v>2209860.6403899784</v>
      </c>
      <c r="Q120" s="317">
        <f t="shared" si="65"/>
        <v>2204505.3346197992</v>
      </c>
      <c r="R120" s="317">
        <f t="shared" si="65"/>
        <v>2199624.4146240931</v>
      </c>
      <c r="S120" s="317">
        <f t="shared" si="65"/>
        <v>2195214.9216499003</v>
      </c>
      <c r="T120" s="317">
        <f t="shared" si="65"/>
        <v>2196919.4783430998</v>
      </c>
      <c r="U120" s="317">
        <f t="shared" si="65"/>
        <v>2198938.9693269418</v>
      </c>
      <c r="V120" s="317">
        <f t="shared" si="65"/>
        <v>2201320.3931991532</v>
      </c>
      <c r="W120" s="317">
        <f t="shared" si="65"/>
        <v>2204019.7651116927</v>
      </c>
      <c r="X120" s="317">
        <f t="shared" si="65"/>
        <v>2207038.8885997077</v>
      </c>
      <c r="Y120" s="317">
        <f t="shared" si="65"/>
        <v>2210379.7617106866</v>
      </c>
      <c r="Z120" s="317">
        <f t="shared" si="65"/>
        <v>2243252.4522526572</v>
      </c>
      <c r="AA120" s="317">
        <f t="shared" si="65"/>
        <v>2067963.4648864085</v>
      </c>
      <c r="AB120" s="317">
        <f t="shared" si="65"/>
        <v>2072283.4887864066</v>
      </c>
    </row>
    <row r="121" spans="2:28" outlineLevel="1" x14ac:dyDescent="0.2">
      <c r="B121" s="319" t="s">
        <v>430</v>
      </c>
      <c r="C121" s="318" t="s">
        <v>429</v>
      </c>
      <c r="D121" s="317">
        <f t="shared" ref="D121:AB121" si="66">D120-D114</f>
        <v>1624078.5788683603</v>
      </c>
      <c r="E121" s="317">
        <f t="shared" si="66"/>
        <v>1632643.9204391611</v>
      </c>
      <c r="F121" s="317">
        <f t="shared" si="66"/>
        <v>1641735.3292714618</v>
      </c>
      <c r="G121" s="317">
        <f t="shared" si="66"/>
        <v>1648223.5885125301</v>
      </c>
      <c r="H121" s="317">
        <f t="shared" si="66"/>
        <v>1754603.4716821313</v>
      </c>
      <c r="I121" s="317">
        <f t="shared" si="66"/>
        <v>1743651.6047884894</v>
      </c>
      <c r="J121" s="317">
        <f t="shared" si="66"/>
        <v>1733200.940408865</v>
      </c>
      <c r="K121" s="317">
        <f t="shared" si="66"/>
        <v>1723245.6473508985</v>
      </c>
      <c r="L121" s="317">
        <f t="shared" si="66"/>
        <v>1713827.8430910665</v>
      </c>
      <c r="M121" s="317">
        <f t="shared" si="66"/>
        <v>1704894.212642658</v>
      </c>
      <c r="N121" s="317">
        <f t="shared" si="66"/>
        <v>1696439.9759753956</v>
      </c>
      <c r="O121" s="317">
        <f t="shared" si="66"/>
        <v>1688460.6822673907</v>
      </c>
      <c r="P121" s="317">
        <f t="shared" si="66"/>
        <v>1680998.6302361256</v>
      </c>
      <c r="Q121" s="317">
        <f t="shared" si="66"/>
        <v>1674003.011266707</v>
      </c>
      <c r="R121" s="317">
        <f t="shared" si="66"/>
        <v>1667470.3264945778</v>
      </c>
      <c r="S121" s="317">
        <f t="shared" si="66"/>
        <v>1661397.3766836566</v>
      </c>
      <c r="T121" s="317">
        <f t="shared" si="66"/>
        <v>1661426.5389465566</v>
      </c>
      <c r="U121" s="317">
        <f t="shared" si="66"/>
        <v>1661758.4472170626</v>
      </c>
      <c r="V121" s="317">
        <f t="shared" si="66"/>
        <v>1662439.8441389585</v>
      </c>
      <c r="W121" s="317">
        <f t="shared" si="66"/>
        <v>1663426.4835352255</v>
      </c>
      <c r="X121" s="317">
        <f t="shared" si="66"/>
        <v>1664719.9021241262</v>
      </c>
      <c r="Y121" s="317">
        <f t="shared" si="66"/>
        <v>1666321.8255331095</v>
      </c>
      <c r="Z121" s="317">
        <f t="shared" si="66"/>
        <v>1668234.1660003839</v>
      </c>
      <c r="AA121" s="317">
        <f t="shared" si="66"/>
        <v>1670459.0202788373</v>
      </c>
      <c r="AB121" s="317">
        <f t="shared" si="66"/>
        <v>1672998.6677365401</v>
      </c>
    </row>
    <row r="122" spans="2:28" outlineLevel="1" x14ac:dyDescent="0.2">
      <c r="C122" s="311" t="s">
        <v>517</v>
      </c>
      <c r="D122" s="320">
        <f>NPV(0.05,D121:AB121)</f>
        <v>23681916.616568115</v>
      </c>
      <c r="F122" s="181"/>
    </row>
    <row r="123" spans="2:28" outlineLevel="1" x14ac:dyDescent="0.2">
      <c r="B123" s="316" t="s">
        <v>428</v>
      </c>
      <c r="C123" s="315" t="s">
        <v>289</v>
      </c>
      <c r="D123" s="314">
        <f t="shared" ref="D123:AB123" si="67">D120/D$88</f>
        <v>79.398657337093439</v>
      </c>
      <c r="E123" s="314">
        <f t="shared" si="67"/>
        <v>80.393599295186362</v>
      </c>
      <c r="F123" s="314">
        <f t="shared" si="67"/>
        <v>81.409176425689566</v>
      </c>
      <c r="G123" s="314">
        <f t="shared" si="67"/>
        <v>94.1109132833259</v>
      </c>
      <c r="H123" s="314">
        <f>H120/H$88</f>
        <v>99.575559089732991</v>
      </c>
      <c r="I123" s="314">
        <f t="shared" si="67"/>
        <v>99.909976999562687</v>
      </c>
      <c r="J123" s="314">
        <f t="shared" si="67"/>
        <v>100.26784980736444</v>
      </c>
      <c r="K123" s="314">
        <f t="shared" si="67"/>
        <v>100.64941144453324</v>
      </c>
      <c r="L123" s="314">
        <f t="shared" si="67"/>
        <v>101.05248523427096</v>
      </c>
      <c r="M123" s="314">
        <f t="shared" si="67"/>
        <v>101.47966389213801</v>
      </c>
      <c r="N123" s="314">
        <f t="shared" si="67"/>
        <v>101.931228019797</v>
      </c>
      <c r="O123" s="314">
        <f t="shared" si="67"/>
        <v>102.4074755009905</v>
      </c>
      <c r="P123" s="314">
        <f t="shared" si="67"/>
        <v>103.4143216991894</v>
      </c>
      <c r="Q123" s="314">
        <f t="shared" si="67"/>
        <v>103.94197437973497</v>
      </c>
      <c r="R123" s="314">
        <f t="shared" si="67"/>
        <v>104.49522159734408</v>
      </c>
      <c r="S123" s="314">
        <f t="shared" si="67"/>
        <v>105.07442665373829</v>
      </c>
      <c r="T123" s="314">
        <f t="shared" si="67"/>
        <v>105.95222948363153</v>
      </c>
      <c r="U123" s="314">
        <f t="shared" si="67"/>
        <v>106.85353852601884</v>
      </c>
      <c r="V123" s="314">
        <f t="shared" si="67"/>
        <v>107.77578424475658</v>
      </c>
      <c r="W123" s="314">
        <f t="shared" si="67"/>
        <v>108.72236410377332</v>
      </c>
      <c r="X123" s="314">
        <f t="shared" si="67"/>
        <v>109.6937817395481</v>
      </c>
      <c r="Y123" s="314">
        <f t="shared" si="67"/>
        <v>110.69055845113358</v>
      </c>
      <c r="Z123" s="314">
        <f t="shared" si="67"/>
        <v>113.18696464264883</v>
      </c>
      <c r="AA123" s="314">
        <f t="shared" si="67"/>
        <v>105.13286552549103</v>
      </c>
      <c r="AB123" s="314">
        <f t="shared" si="67"/>
        <v>106.15118782841955</v>
      </c>
    </row>
    <row r="124" spans="2:28" outlineLevel="1" x14ac:dyDescent="0.2">
      <c r="C124" s="172"/>
    </row>
    <row r="125" spans="2:28" outlineLevel="1" x14ac:dyDescent="0.2">
      <c r="B125" s="171" t="s">
        <v>427</v>
      </c>
      <c r="C125" s="172"/>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row>
    <row r="126" spans="2:28" outlineLevel="1" x14ac:dyDescent="0.2">
      <c r="B126" s="169" t="s">
        <v>296</v>
      </c>
      <c r="C126" s="311" t="s">
        <v>137</v>
      </c>
      <c r="D126" s="250">
        <f t="shared" ref="D126:AB126" si="68">-(D120-D74)</f>
        <v>0</v>
      </c>
      <c r="E126" s="250">
        <f t="shared" si="68"/>
        <v>0</v>
      </c>
      <c r="F126" s="250">
        <f t="shared" si="68"/>
        <v>0</v>
      </c>
      <c r="G126" s="250">
        <f t="shared" si="68"/>
        <v>-267496.80947936</v>
      </c>
      <c r="H126" s="250">
        <f t="shared" si="68"/>
        <v>-368174.97615739238</v>
      </c>
      <c r="I126" s="250">
        <f t="shared" si="68"/>
        <v>-352371.89121750928</v>
      </c>
      <c r="J126" s="250">
        <f t="shared" si="68"/>
        <v>-336729.08906440344</v>
      </c>
      <c r="K126" s="250">
        <f t="shared" si="68"/>
        <v>-321231.14970586635</v>
      </c>
      <c r="L126" s="250">
        <f t="shared" si="68"/>
        <v>-305852.98194542713</v>
      </c>
      <c r="M126" s="250">
        <f t="shared" si="68"/>
        <v>-290588.04954115581</v>
      </c>
      <c r="N126" s="250">
        <f t="shared" si="68"/>
        <v>-275421.02248443291</v>
      </c>
      <c r="O126" s="250">
        <f t="shared" si="68"/>
        <v>-249549.14560825936</v>
      </c>
      <c r="P126" s="250">
        <f t="shared" si="68"/>
        <v>-245380.99461622816</v>
      </c>
      <c r="Q126" s="250">
        <f t="shared" si="68"/>
        <v>-230403.0651519401</v>
      </c>
      <c r="R126" s="250">
        <f t="shared" si="68"/>
        <v>-215460.50990670919</v>
      </c>
      <c r="S126" s="250">
        <f t="shared" si="68"/>
        <v>-200537.7400525799</v>
      </c>
      <c r="T126" s="250">
        <f t="shared" si="68"/>
        <v>-177914.61028581671</v>
      </c>
      <c r="U126" s="250">
        <f t="shared" si="68"/>
        <v>-171850.02025968209</v>
      </c>
      <c r="V126" s="250">
        <f t="shared" si="68"/>
        <v>-165564.8996221968</v>
      </c>
      <c r="W126" s="250">
        <f t="shared" si="68"/>
        <v>-159059.55401660362</v>
      </c>
      <c r="X126" s="250">
        <f t="shared" si="68"/>
        <v>-152321.17043962842</v>
      </c>
      <c r="Y126" s="250">
        <f t="shared" si="68"/>
        <v>-145336.64177117543</v>
      </c>
      <c r="Z126" s="250">
        <f t="shared" si="68"/>
        <v>-149775.69803666137</v>
      </c>
      <c r="AA126" s="250">
        <f t="shared" si="68"/>
        <v>34972.923187496839</v>
      </c>
      <c r="AB126" s="250">
        <f t="shared" si="68"/>
        <v>42777.769412903814</v>
      </c>
    </row>
    <row r="127" spans="2:28" outlineLevel="1" x14ac:dyDescent="0.2">
      <c r="B127" s="169" t="s">
        <v>426</v>
      </c>
      <c r="C127" s="311" t="s">
        <v>137</v>
      </c>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0"/>
      <c r="Z127" s="250"/>
      <c r="AA127" s="250"/>
      <c r="AB127" s="250">
        <f>SUM(D98:AB99)*1000-SUM(D104:AB104)</f>
        <v>3218783.9545186721</v>
      </c>
    </row>
    <row r="128" spans="2:28" outlineLevel="1" x14ac:dyDescent="0.2">
      <c r="B128" s="169" t="s">
        <v>286</v>
      </c>
      <c r="C128" s="311" t="s">
        <v>137</v>
      </c>
      <c r="D128" s="250">
        <f t="shared" ref="D128:AB128" si="69">SUM(D126:D127)</f>
        <v>0</v>
      </c>
      <c r="E128" s="250">
        <f t="shared" si="69"/>
        <v>0</v>
      </c>
      <c r="F128" s="250">
        <f t="shared" si="69"/>
        <v>0</v>
      </c>
      <c r="G128" s="250">
        <f t="shared" si="69"/>
        <v>-267496.80947936</v>
      </c>
      <c r="H128" s="250">
        <f t="shared" si="69"/>
        <v>-368174.97615739238</v>
      </c>
      <c r="I128" s="250">
        <f t="shared" si="69"/>
        <v>-352371.89121750928</v>
      </c>
      <c r="J128" s="250">
        <f t="shared" si="69"/>
        <v>-336729.08906440344</v>
      </c>
      <c r="K128" s="250">
        <f t="shared" si="69"/>
        <v>-321231.14970586635</v>
      </c>
      <c r="L128" s="250">
        <f t="shared" si="69"/>
        <v>-305852.98194542713</v>
      </c>
      <c r="M128" s="250">
        <f t="shared" si="69"/>
        <v>-290588.04954115581</v>
      </c>
      <c r="N128" s="250">
        <f t="shared" si="69"/>
        <v>-275421.02248443291</v>
      </c>
      <c r="O128" s="250">
        <f t="shared" si="69"/>
        <v>-249549.14560825936</v>
      </c>
      <c r="P128" s="250">
        <f t="shared" si="69"/>
        <v>-245380.99461622816</v>
      </c>
      <c r="Q128" s="250">
        <f t="shared" si="69"/>
        <v>-230403.0651519401</v>
      </c>
      <c r="R128" s="250">
        <f t="shared" si="69"/>
        <v>-215460.50990670919</v>
      </c>
      <c r="S128" s="250">
        <f t="shared" si="69"/>
        <v>-200537.7400525799</v>
      </c>
      <c r="T128" s="250">
        <f t="shared" si="69"/>
        <v>-177914.61028581671</v>
      </c>
      <c r="U128" s="250">
        <f t="shared" si="69"/>
        <v>-171850.02025968209</v>
      </c>
      <c r="V128" s="250">
        <f t="shared" si="69"/>
        <v>-165564.8996221968</v>
      </c>
      <c r="W128" s="250">
        <f t="shared" si="69"/>
        <v>-159059.55401660362</v>
      </c>
      <c r="X128" s="250">
        <f t="shared" si="69"/>
        <v>-152321.17043962842</v>
      </c>
      <c r="Y128" s="250">
        <f t="shared" si="69"/>
        <v>-145336.64177117543</v>
      </c>
      <c r="Z128" s="250">
        <f t="shared" si="69"/>
        <v>-149775.69803666137</v>
      </c>
      <c r="AA128" s="250">
        <f t="shared" si="69"/>
        <v>34972.923187496839</v>
      </c>
      <c r="AB128" s="250">
        <f t="shared" si="69"/>
        <v>3261561.7239315761</v>
      </c>
    </row>
    <row r="129" spans="2:31" outlineLevel="1" x14ac:dyDescent="0.2">
      <c r="B129" s="169" t="s">
        <v>519</v>
      </c>
      <c r="C129" s="312">
        <f>NPV(D8,G128:AB128)</f>
        <v>-2061465.1869657745</v>
      </c>
    </row>
    <row r="130" spans="2:31" outlineLevel="1" x14ac:dyDescent="0.2">
      <c r="B130" s="169" t="s">
        <v>425</v>
      </c>
      <c r="C130" s="311">
        <f>IRR(G128:AB128)</f>
        <v>-2.8944354810738204E-2</v>
      </c>
      <c r="G130" s="181"/>
    </row>
    <row r="131" spans="2:31" outlineLevel="1" x14ac:dyDescent="0.2">
      <c r="C131" s="172"/>
    </row>
    <row r="132" spans="2:31" s="310" customFormat="1" ht="23.25" x14ac:dyDescent="0.35">
      <c r="B132" s="310" t="s">
        <v>424</v>
      </c>
    </row>
    <row r="133" spans="2:31" outlineLevel="1" x14ac:dyDescent="0.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row>
    <row r="134" spans="2:31" s="258" customFormat="1" outlineLevel="1" x14ac:dyDescent="0.2">
      <c r="B134" s="258" t="s">
        <v>423</v>
      </c>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row>
    <row r="135" spans="2:31" outlineLevel="1" x14ac:dyDescent="0.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row>
    <row r="136" spans="2:31" outlineLevel="1" x14ac:dyDescent="0.2">
      <c r="B136" s="169" t="s">
        <v>422</v>
      </c>
      <c r="C136" s="170"/>
      <c r="D136" s="170"/>
      <c r="E136" s="170"/>
      <c r="F136" s="173">
        <f t="shared" ref="F136:AB136" si="70">(F99+F98-F53-F52)*1000</f>
        <v>0</v>
      </c>
      <c r="G136" s="173">
        <f t="shared" si="70"/>
        <v>7117420.8122752002</v>
      </c>
      <c r="H136" s="173">
        <f t="shared" si="70"/>
        <v>48997.429119692795</v>
      </c>
      <c r="I136" s="173">
        <f t="shared" si="70"/>
        <v>49298.200131206351</v>
      </c>
      <c r="J136" s="173">
        <f t="shared" si="70"/>
        <v>49605.287333961678</v>
      </c>
      <c r="K136" s="173">
        <f t="shared" si="70"/>
        <v>49918.823367974866</v>
      </c>
      <c r="L136" s="173">
        <f t="shared" si="70"/>
        <v>50238.943658702352</v>
      </c>
      <c r="M136" s="173">
        <f t="shared" si="70"/>
        <v>50565.786475535089</v>
      </c>
      <c r="N136" s="173">
        <f t="shared" si="70"/>
        <v>50899.492991521329</v>
      </c>
      <c r="O136" s="173">
        <f t="shared" si="70"/>
        <v>-164508.03410552314</v>
      </c>
      <c r="P136" s="173">
        <f t="shared" si="70"/>
        <v>268801.03121888806</v>
      </c>
      <c r="Q136" s="173">
        <f t="shared" si="70"/>
        <v>51943.251309244544</v>
      </c>
      <c r="R136" s="173">
        <f t="shared" si="70"/>
        <v>52305.884586738677</v>
      </c>
      <c r="S136" s="173">
        <f t="shared" si="70"/>
        <v>52676.133163060185</v>
      </c>
      <c r="T136" s="173">
        <f t="shared" si="70"/>
        <v>-282024.72910041735</v>
      </c>
      <c r="U136" s="173">
        <f t="shared" si="70"/>
        <v>53440.119255633625</v>
      </c>
      <c r="V136" s="173">
        <f t="shared" si="70"/>
        <v>53834.18676000194</v>
      </c>
      <c r="W136" s="173">
        <f t="shared" si="70"/>
        <v>54236.529681961962</v>
      </c>
      <c r="X136" s="173">
        <f t="shared" si="70"/>
        <v>54647.321805283173</v>
      </c>
      <c r="Y136" s="173">
        <f t="shared" si="70"/>
        <v>55066.740563194115</v>
      </c>
      <c r="Z136" s="173">
        <f t="shared" si="70"/>
        <v>289157.98654668935</v>
      </c>
      <c r="AA136" s="173">
        <f t="shared" si="70"/>
        <v>55932.186424436637</v>
      </c>
      <c r="AB136" s="173">
        <f t="shared" si="70"/>
        <v>56378.587339349797</v>
      </c>
    </row>
    <row r="137" spans="2:31" outlineLevel="1" x14ac:dyDescent="0.2">
      <c r="B137" s="186" t="s">
        <v>294</v>
      </c>
      <c r="C137" s="309">
        <v>0.27</v>
      </c>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row>
    <row r="138" spans="2:31" outlineLevel="1" x14ac:dyDescent="0.2">
      <c r="B138" s="169" t="s">
        <v>293</v>
      </c>
      <c r="C138" s="170"/>
      <c r="D138" s="170"/>
      <c r="E138" s="170"/>
      <c r="F138" s="173">
        <f t="shared" ref="F138:AB138" si="71">F136*$C$137-F136*$C$137/1.2359</f>
        <v>0</v>
      </c>
      <c r="G138" s="173">
        <f t="shared" si="71"/>
        <v>366801.42713507917</v>
      </c>
      <c r="H138" s="173">
        <f t="shared" si="71"/>
        <v>2525.1179326163874</v>
      </c>
      <c r="I138" s="173">
        <f t="shared" si="71"/>
        <v>2540.6183841386246</v>
      </c>
      <c r="J138" s="173">
        <f t="shared" si="71"/>
        <v>2556.4443451428288</v>
      </c>
      <c r="K138" s="173">
        <f t="shared" si="71"/>
        <v>2572.6026513281195</v>
      </c>
      <c r="L138" s="173">
        <f t="shared" si="71"/>
        <v>2589.1002819433033</v>
      </c>
      <c r="M138" s="173">
        <f t="shared" si="71"/>
        <v>2605.9443628014051</v>
      </c>
      <c r="N138" s="173">
        <f t="shared" si="71"/>
        <v>2623.1421693575285</v>
      </c>
      <c r="O138" s="173">
        <f t="shared" si="71"/>
        <v>-8478.0404695226825</v>
      </c>
      <c r="P138" s="173">
        <f t="shared" si="71"/>
        <v>13852.855474896547</v>
      </c>
      <c r="Q138" s="173">
        <f t="shared" si="71"/>
        <v>2676.9330088516163</v>
      </c>
      <c r="R138" s="173">
        <f t="shared" si="71"/>
        <v>2695.6215769747923</v>
      </c>
      <c r="S138" s="173">
        <f t="shared" si="71"/>
        <v>2714.7026050285567</v>
      </c>
      <c r="T138" s="173">
        <f t="shared" si="71"/>
        <v>-14534.348305358755</v>
      </c>
      <c r="U138" s="173">
        <f t="shared" si="71"/>
        <v>2754.0751806368407</v>
      </c>
      <c r="V138" s="173">
        <f t="shared" si="71"/>
        <v>2774.3837343675077</v>
      </c>
      <c r="W138" s="173">
        <f t="shared" si="71"/>
        <v>2795.118767726517</v>
      </c>
      <c r="X138" s="173">
        <f t="shared" si="71"/>
        <v>2816.2892367860677</v>
      </c>
      <c r="Y138" s="173">
        <f t="shared" si="71"/>
        <v>2837.9042856958677</v>
      </c>
      <c r="Z138" s="173">
        <f t="shared" si="71"/>
        <v>14901.96588487603</v>
      </c>
      <c r="AA138" s="173">
        <f t="shared" si="71"/>
        <v>2882.5056638333554</v>
      </c>
      <c r="AB138" s="173">
        <f t="shared" si="71"/>
        <v>2905.5112577111468</v>
      </c>
    </row>
    <row r="139" spans="2:31" s="182" customFormat="1" outlineLevel="1" x14ac:dyDescent="0.2">
      <c r="B139" s="176" t="s">
        <v>295</v>
      </c>
      <c r="C139" s="187"/>
      <c r="D139" s="187"/>
      <c r="E139" s="187"/>
      <c r="F139" s="179">
        <f t="shared" ref="F139:AB139" si="72">F136-F138</f>
        <v>0</v>
      </c>
      <c r="G139" s="179">
        <f t="shared" si="72"/>
        <v>6750619.385140121</v>
      </c>
      <c r="H139" s="179">
        <f t="shared" si="72"/>
        <v>46472.311187076411</v>
      </c>
      <c r="I139" s="179">
        <f t="shared" si="72"/>
        <v>46757.581747067728</v>
      </c>
      <c r="J139" s="179">
        <f t="shared" si="72"/>
        <v>47048.842988818848</v>
      </c>
      <c r="K139" s="179">
        <f t="shared" si="72"/>
        <v>47346.220716646749</v>
      </c>
      <c r="L139" s="179">
        <f t="shared" si="72"/>
        <v>47649.843376759047</v>
      </c>
      <c r="M139" s="179">
        <f t="shared" si="72"/>
        <v>47959.842112733684</v>
      </c>
      <c r="N139" s="179">
        <f t="shared" si="72"/>
        <v>48276.350822163804</v>
      </c>
      <c r="O139" s="179">
        <f t="shared" si="72"/>
        <v>-156029.99363600046</v>
      </c>
      <c r="P139" s="179">
        <f t="shared" si="72"/>
        <v>254948.17574399151</v>
      </c>
      <c r="Q139" s="179">
        <f t="shared" si="72"/>
        <v>49266.31830039293</v>
      </c>
      <c r="R139" s="179">
        <f t="shared" si="72"/>
        <v>49610.263009763883</v>
      </c>
      <c r="S139" s="179">
        <f t="shared" si="72"/>
        <v>49961.430558031629</v>
      </c>
      <c r="T139" s="179">
        <f t="shared" si="72"/>
        <v>-267490.38079505856</v>
      </c>
      <c r="U139" s="179">
        <f t="shared" si="72"/>
        <v>50686.044074996782</v>
      </c>
      <c r="V139" s="179">
        <f t="shared" si="72"/>
        <v>51059.803025634435</v>
      </c>
      <c r="W139" s="179">
        <f t="shared" si="72"/>
        <v>51441.410914235443</v>
      </c>
      <c r="X139" s="179">
        <f t="shared" si="72"/>
        <v>51831.032568497103</v>
      </c>
      <c r="Y139" s="179">
        <f t="shared" si="72"/>
        <v>52228.836277498245</v>
      </c>
      <c r="Z139" s="179">
        <f t="shared" si="72"/>
        <v>274256.02066181332</v>
      </c>
      <c r="AA139" s="179">
        <f t="shared" si="72"/>
        <v>53049.680760603282</v>
      </c>
      <c r="AB139" s="179">
        <f t="shared" si="72"/>
        <v>53473.076081638646</v>
      </c>
    </row>
    <row r="140" spans="2:31" outlineLevel="1" x14ac:dyDescent="0.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row>
    <row r="141" spans="2:31" s="307" customFormat="1" ht="21" outlineLevel="1" x14ac:dyDescent="0.35">
      <c r="B141" s="307" t="s">
        <v>421</v>
      </c>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row>
    <row r="142" spans="2:31" s="291" customFormat="1" outlineLevel="1" x14ac:dyDescent="0.2">
      <c r="B142" s="168"/>
      <c r="Z142" s="512"/>
      <c r="AA142" s="512"/>
      <c r="AC142" s="291" t="s">
        <v>420</v>
      </c>
    </row>
    <row r="143" spans="2:31" s="291" customFormat="1" outlineLevel="1" x14ac:dyDescent="0.2">
      <c r="B143" s="175" t="str">
        <f>B139</f>
        <v>Fiskāli koriģētās investīciju izmaksas</v>
      </c>
      <c r="C143" s="301" t="s">
        <v>137</v>
      </c>
      <c r="D143" s="303">
        <v>1.0000000000000001E-17</v>
      </c>
      <c r="E143" s="303">
        <f t="shared" ref="E143:AB143" si="73">-E139</f>
        <v>0</v>
      </c>
      <c r="F143" s="303">
        <f t="shared" si="73"/>
        <v>0</v>
      </c>
      <c r="G143" s="303">
        <f t="shared" si="73"/>
        <v>-6750619.385140121</v>
      </c>
      <c r="H143" s="303">
        <f t="shared" si="73"/>
        <v>-46472.311187076411</v>
      </c>
      <c r="I143" s="303">
        <f t="shared" si="73"/>
        <v>-46757.581747067728</v>
      </c>
      <c r="J143" s="303">
        <f t="shared" si="73"/>
        <v>-47048.842988818848</v>
      </c>
      <c r="K143" s="303">
        <f t="shared" si="73"/>
        <v>-47346.220716646749</v>
      </c>
      <c r="L143" s="303">
        <f t="shared" si="73"/>
        <v>-47649.843376759047</v>
      </c>
      <c r="M143" s="303">
        <f t="shared" si="73"/>
        <v>-47959.842112733684</v>
      </c>
      <c r="N143" s="303">
        <f t="shared" si="73"/>
        <v>-48276.350822163804</v>
      </c>
      <c r="O143" s="303">
        <f t="shared" si="73"/>
        <v>156029.99363600046</v>
      </c>
      <c r="P143" s="303">
        <f t="shared" si="73"/>
        <v>-254948.17574399151</v>
      </c>
      <c r="Q143" s="303">
        <f t="shared" si="73"/>
        <v>-49266.31830039293</v>
      </c>
      <c r="R143" s="303">
        <f t="shared" si="73"/>
        <v>-49610.263009763883</v>
      </c>
      <c r="S143" s="303">
        <f t="shared" si="73"/>
        <v>-49961.430558031629</v>
      </c>
      <c r="T143" s="303">
        <f t="shared" si="73"/>
        <v>267490.38079505856</v>
      </c>
      <c r="U143" s="303">
        <f t="shared" si="73"/>
        <v>-50686.044074996782</v>
      </c>
      <c r="V143" s="303">
        <f t="shared" si="73"/>
        <v>-51059.803025634435</v>
      </c>
      <c r="W143" s="303">
        <f t="shared" si="73"/>
        <v>-51441.410914235443</v>
      </c>
      <c r="X143" s="303">
        <f t="shared" si="73"/>
        <v>-51831.032568497103</v>
      </c>
      <c r="Y143" s="303">
        <f t="shared" si="73"/>
        <v>-52228.836277498245</v>
      </c>
      <c r="Z143" s="303">
        <f t="shared" si="73"/>
        <v>-274256.02066181332</v>
      </c>
      <c r="AA143" s="303">
        <f t="shared" si="73"/>
        <v>-53049.680760603282</v>
      </c>
      <c r="AB143" s="303">
        <f t="shared" si="73"/>
        <v>-53473.076081638646</v>
      </c>
      <c r="AC143" s="303">
        <f t="shared" ref="AC143:AC150" si="74">NPV($D$9,D143:AB143)</f>
        <v>-6000815.5974828415</v>
      </c>
      <c r="AE143" s="306">
        <f>AC143+AC145</f>
        <v>-5099285.2943492923</v>
      </c>
    </row>
    <row r="144" spans="2:31" s="291" customFormat="1" outlineLevel="1" x14ac:dyDescent="0.2">
      <c r="B144" s="175" t="s">
        <v>419</v>
      </c>
      <c r="C144" s="301" t="s">
        <v>137</v>
      </c>
      <c r="D144" s="303">
        <v>1.0000000000000001E-17</v>
      </c>
      <c r="E144" s="303">
        <f>(E121-E75)</f>
        <v>0</v>
      </c>
      <c r="F144" s="303">
        <f>(F121-F75)</f>
        <v>0</v>
      </c>
      <c r="G144" s="303">
        <f>(G121-G75)</f>
        <v>0</v>
      </c>
      <c r="H144" s="303">
        <f t="shared" ref="H144:AB144" si="75">-(H121-H75)</f>
        <v>-99453.230950039811</v>
      </c>
      <c r="I144" s="303">
        <f t="shared" si="75"/>
        <v>-82417.691006876761</v>
      </c>
      <c r="J144" s="303">
        <f t="shared" si="75"/>
        <v>-65534.756670421921</v>
      </c>
      <c r="K144" s="303">
        <f t="shared" si="75"/>
        <v>-48788.846727685537</v>
      </c>
      <c r="L144" s="303">
        <f t="shared" si="75"/>
        <v>-32154.705375778722</v>
      </c>
      <c r="M144" s="303">
        <f t="shared" si="75"/>
        <v>-15625.628309618914</v>
      </c>
      <c r="N144" s="303">
        <f t="shared" si="75"/>
        <v>813.88607189175673</v>
      </c>
      <c r="O144" s="303">
        <f t="shared" si="75"/>
        <v>17179.356059180805</v>
      </c>
      <c r="P144" s="303">
        <f t="shared" si="75"/>
        <v>33497.856694692047</v>
      </c>
      <c r="Q144" s="303">
        <f t="shared" si="75"/>
        <v>49774.367441711249</v>
      </c>
      <c r="R144" s="303">
        <f t="shared" si="75"/>
        <v>66024.569801610429</v>
      </c>
      <c r="S144" s="303">
        <f t="shared" si="75"/>
        <v>82264.242984816199</v>
      </c>
      <c r="T144" s="303">
        <f t="shared" si="75"/>
        <v>89459.782372571528</v>
      </c>
      <c r="U144" s="303">
        <f t="shared" si="75"/>
        <v>96860.37538009719</v>
      </c>
      <c r="V144" s="303">
        <f t="shared" si="75"/>
        <v>104491.35068658227</v>
      </c>
      <c r="W144" s="303">
        <f t="shared" si="75"/>
        <v>112352.6095342245</v>
      </c>
      <c r="X144" s="303">
        <f t="shared" si="75"/>
        <v>120457.17615633179</v>
      </c>
      <c r="Y144" s="303">
        <f t="shared" si="75"/>
        <v>128818.37333886465</v>
      </c>
      <c r="Z144" s="303">
        <f t="shared" si="75"/>
        <v>137449.84222283773</v>
      </c>
      <c r="AA144" s="303">
        <f t="shared" si="75"/>
        <v>146365.56256264681</v>
      </c>
      <c r="AB144" s="303">
        <f t="shared" si="75"/>
        <v>155579.8734715376</v>
      </c>
      <c r="AC144" s="303">
        <f t="shared" si="74"/>
        <v>259372.76328709486</v>
      </c>
      <c r="AE144" s="306">
        <f>AC144</f>
        <v>259372.76328709486</v>
      </c>
    </row>
    <row r="145" spans="2:31" s="291" customFormat="1" outlineLevel="1" x14ac:dyDescent="0.2">
      <c r="B145" s="175" t="s">
        <v>418</v>
      </c>
      <c r="C145" s="301" t="s">
        <v>137</v>
      </c>
      <c r="D145" s="303">
        <v>1.0000000000000001E-17</v>
      </c>
      <c r="E145" s="303">
        <v>0</v>
      </c>
      <c r="F145" s="303">
        <v>0</v>
      </c>
      <c r="G145" s="303">
        <v>0</v>
      </c>
      <c r="H145" s="303">
        <f t="shared" ref="H145:AA145" si="76">G145</f>
        <v>0</v>
      </c>
      <c r="I145" s="303">
        <f t="shared" si="76"/>
        <v>0</v>
      </c>
      <c r="J145" s="303">
        <f t="shared" si="76"/>
        <v>0</v>
      </c>
      <c r="K145" s="303">
        <f t="shared" si="76"/>
        <v>0</v>
      </c>
      <c r="L145" s="303">
        <f t="shared" si="76"/>
        <v>0</v>
      </c>
      <c r="M145" s="303">
        <f t="shared" si="76"/>
        <v>0</v>
      </c>
      <c r="N145" s="303">
        <f t="shared" si="76"/>
        <v>0</v>
      </c>
      <c r="O145" s="303">
        <f t="shared" si="76"/>
        <v>0</v>
      </c>
      <c r="P145" s="303">
        <f t="shared" si="76"/>
        <v>0</v>
      </c>
      <c r="Q145" s="303">
        <f t="shared" si="76"/>
        <v>0</v>
      </c>
      <c r="R145" s="303">
        <f t="shared" si="76"/>
        <v>0</v>
      </c>
      <c r="S145" s="303">
        <f t="shared" si="76"/>
        <v>0</v>
      </c>
      <c r="T145" s="303">
        <f t="shared" si="76"/>
        <v>0</v>
      </c>
      <c r="U145" s="303">
        <f t="shared" si="76"/>
        <v>0</v>
      </c>
      <c r="V145" s="303">
        <f t="shared" si="76"/>
        <v>0</v>
      </c>
      <c r="W145" s="303">
        <f t="shared" si="76"/>
        <v>0</v>
      </c>
      <c r="X145" s="303">
        <f t="shared" si="76"/>
        <v>0</v>
      </c>
      <c r="Y145" s="303">
        <f t="shared" si="76"/>
        <v>0</v>
      </c>
      <c r="Z145" s="303">
        <f t="shared" si="76"/>
        <v>0</v>
      </c>
      <c r="AA145" s="303">
        <f t="shared" si="76"/>
        <v>0</v>
      </c>
      <c r="AB145" s="303">
        <f>SUM(G139:AB139)/SUM(G136:AB136)*AB127</f>
        <v>3052901.5963868173</v>
      </c>
      <c r="AC145" s="303">
        <f t="shared" si="74"/>
        <v>901530.30313354894</v>
      </c>
      <c r="AE145" s="306">
        <f>AE144+AE143</f>
        <v>-4839912.5310621979</v>
      </c>
    </row>
    <row r="146" spans="2:31" s="291" customFormat="1" ht="14.25" outlineLevel="1" x14ac:dyDescent="0.25">
      <c r="B146" s="305" t="s">
        <v>267</v>
      </c>
      <c r="C146" s="301" t="s">
        <v>137</v>
      </c>
      <c r="D146" s="303">
        <v>1.0000000000000001E-17</v>
      </c>
      <c r="E146" s="304">
        <f t="shared" ref="E146:AB146" si="77">E194</f>
        <v>0</v>
      </c>
      <c r="F146" s="304">
        <f t="shared" si="77"/>
        <v>0</v>
      </c>
      <c r="G146" s="304">
        <f t="shared" si="77"/>
        <v>0</v>
      </c>
      <c r="H146" s="304">
        <f t="shared" si="77"/>
        <v>78556.468345294255</v>
      </c>
      <c r="I146" s="304">
        <f t="shared" si="77"/>
        <v>79019.087440949472</v>
      </c>
      <c r="J146" s="304">
        <f t="shared" si="77"/>
        <v>79486.706025204694</v>
      </c>
      <c r="K146" s="304">
        <f t="shared" si="77"/>
        <v>79959.351369719923</v>
      </c>
      <c r="L146" s="304">
        <f t="shared" si="77"/>
        <v>80440.704760058972</v>
      </c>
      <c r="M146" s="304">
        <f t="shared" si="77"/>
        <v>80927.242954508183</v>
      </c>
      <c r="N146" s="304">
        <f t="shared" si="77"/>
        <v>81418.999569686464</v>
      </c>
      <c r="O146" s="304">
        <f t="shared" si="77"/>
        <v>81916.009604730323</v>
      </c>
      <c r="P146" s="304">
        <f t="shared" si="77"/>
        <v>82422.166555087912</v>
      </c>
      <c r="Q146" s="304">
        <f t="shared" si="77"/>
        <v>82933.757604191764</v>
      </c>
      <c r="R146" s="304">
        <f t="shared" si="77"/>
        <v>83450.8246871093</v>
      </c>
      <c r="S146" s="304">
        <f t="shared" si="77"/>
        <v>83973.411281198933</v>
      </c>
      <c r="T146" s="304">
        <f t="shared" si="77"/>
        <v>85009.211974630191</v>
      </c>
      <c r="U146" s="304">
        <f t="shared" si="77"/>
        <v>86057.037120348832</v>
      </c>
      <c r="V146" s="304">
        <f t="shared" si="77"/>
        <v>87121.302436794256</v>
      </c>
      <c r="W146" s="304">
        <f t="shared" si="77"/>
        <v>88198.06628439005</v>
      </c>
      <c r="X146" s="304">
        <f t="shared" si="77"/>
        <v>89287.489912922538</v>
      </c>
      <c r="Y146" s="304">
        <f t="shared" si="77"/>
        <v>90389.737763050347</v>
      </c>
      <c r="Z146" s="304">
        <f t="shared" si="77"/>
        <v>91504.977564245259</v>
      </c>
      <c r="AA146" s="304">
        <f t="shared" si="77"/>
        <v>92633.380436070423</v>
      </c>
      <c r="AB146" s="304">
        <f t="shared" si="77"/>
        <v>91936.393130298209</v>
      </c>
      <c r="AC146" s="303">
        <f t="shared" si="74"/>
        <v>879263.92954555317</v>
      </c>
    </row>
    <row r="147" spans="2:31" s="291" customFormat="1" ht="14.25" outlineLevel="1" x14ac:dyDescent="0.25">
      <c r="B147" s="305" t="s">
        <v>268</v>
      </c>
      <c r="C147" s="301" t="s">
        <v>137</v>
      </c>
      <c r="D147" s="303">
        <v>1.0000000000000001E-17</v>
      </c>
      <c r="E147" s="304">
        <f t="shared" ref="E147:AB147" si="78">E214</f>
        <v>0</v>
      </c>
      <c r="F147" s="304">
        <f t="shared" si="78"/>
        <v>0</v>
      </c>
      <c r="G147" s="304">
        <f t="shared" si="78"/>
        <v>0</v>
      </c>
      <c r="H147" s="304">
        <f t="shared" si="78"/>
        <v>196737.04317624244</v>
      </c>
      <c r="I147" s="304">
        <f t="shared" si="78"/>
        <v>197895.62775766768</v>
      </c>
      <c r="J147" s="304">
        <f t="shared" si="78"/>
        <v>199066.73307258912</v>
      </c>
      <c r="K147" s="304">
        <f t="shared" si="78"/>
        <v>200250.42742022991</v>
      </c>
      <c r="L147" s="304">
        <f t="shared" si="78"/>
        <v>201455.93022264593</v>
      </c>
      <c r="M147" s="304">
        <f t="shared" si="78"/>
        <v>202674.4178632501</v>
      </c>
      <c r="N147" s="304">
        <f t="shared" si="78"/>
        <v>203905.97453159813</v>
      </c>
      <c r="O147" s="304">
        <f t="shared" si="78"/>
        <v>205150.6878796278</v>
      </c>
      <c r="P147" s="304">
        <f t="shared" si="78"/>
        <v>206418.30878843393</v>
      </c>
      <c r="Q147" s="304">
        <f t="shared" si="78"/>
        <v>207699.53886962496</v>
      </c>
      <c r="R147" s="304">
        <f t="shared" si="78"/>
        <v>208994.48314550344</v>
      </c>
      <c r="S147" s="304">
        <f t="shared" si="78"/>
        <v>210303.25050088941</v>
      </c>
      <c r="T147" s="304">
        <f t="shared" si="78"/>
        <v>212897.31270910695</v>
      </c>
      <c r="U147" s="304">
        <f t="shared" si="78"/>
        <v>215521.48898989754</v>
      </c>
      <c r="V147" s="304">
        <f t="shared" si="78"/>
        <v>218186.83808110372</v>
      </c>
      <c r="W147" s="304">
        <f t="shared" si="78"/>
        <v>220883.48852933847</v>
      </c>
      <c r="X147" s="304">
        <f t="shared" si="78"/>
        <v>223611.84416902592</v>
      </c>
      <c r="Y147" s="304">
        <f t="shared" si="78"/>
        <v>226372.31682582025</v>
      </c>
      <c r="Z147" s="304">
        <f t="shared" si="78"/>
        <v>229165.32656188859</v>
      </c>
      <c r="AA147" s="304">
        <f t="shared" si="78"/>
        <v>231991.30192955252</v>
      </c>
      <c r="AB147" s="304">
        <f t="shared" si="78"/>
        <v>230245.76493486119</v>
      </c>
      <c r="AC147" s="303">
        <f t="shared" si="74"/>
        <v>2202031.090679477</v>
      </c>
    </row>
    <row r="148" spans="2:31" s="291" customFormat="1" ht="14.25" outlineLevel="1" x14ac:dyDescent="0.25">
      <c r="B148" s="305" t="s">
        <v>269</v>
      </c>
      <c r="C148" s="301" t="s">
        <v>137</v>
      </c>
      <c r="D148" s="303">
        <v>1.0000000000000001E-17</v>
      </c>
      <c r="E148" s="304">
        <f t="shared" ref="E148:AB148" si="79">E233</f>
        <v>0</v>
      </c>
      <c r="F148" s="304">
        <f t="shared" si="79"/>
        <v>0</v>
      </c>
      <c r="G148" s="304">
        <f t="shared" si="79"/>
        <v>0</v>
      </c>
      <c r="H148" s="304">
        <f t="shared" si="79"/>
        <v>2369383.1859557154</v>
      </c>
      <c r="I148" s="304">
        <f t="shared" si="79"/>
        <v>61299.449109713263</v>
      </c>
      <c r="J148" s="304">
        <f t="shared" si="79"/>
        <v>61662.206546386144</v>
      </c>
      <c r="K148" s="304">
        <f t="shared" si="79"/>
        <v>62028.863517269383</v>
      </c>
      <c r="L148" s="304">
        <f t="shared" si="79"/>
        <v>62402.275797902534</v>
      </c>
      <c r="M148" s="304">
        <f t="shared" si="79"/>
        <v>62779.710216046908</v>
      </c>
      <c r="N148" s="304">
        <f t="shared" si="79"/>
        <v>63161.192849961284</v>
      </c>
      <c r="O148" s="304">
        <f t="shared" si="79"/>
        <v>63546.750850399534</v>
      </c>
      <c r="P148" s="304">
        <f t="shared" si="79"/>
        <v>63939.404615771877</v>
      </c>
      <c r="Q148" s="304">
        <f t="shared" si="79"/>
        <v>64336.273910206117</v>
      </c>
      <c r="R148" s="304">
        <f t="shared" si="79"/>
        <v>64737.391265038852</v>
      </c>
      <c r="S148" s="304">
        <f t="shared" si="79"/>
        <v>65142.790408046632</v>
      </c>
      <c r="T148" s="304">
        <f t="shared" si="79"/>
        <v>65946.317934762745</v>
      </c>
      <c r="U148" s="304">
        <f t="shared" si="79"/>
        <v>66759.173489996319</v>
      </c>
      <c r="V148" s="304">
        <f t="shared" si="79"/>
        <v>67584.782589233597</v>
      </c>
      <c r="W148" s="304">
        <f t="shared" si="79"/>
        <v>68420.087486018267</v>
      </c>
      <c r="X148" s="304">
        <f t="shared" si="79"/>
        <v>69265.213270671913</v>
      </c>
      <c r="Y148" s="304">
        <f t="shared" si="79"/>
        <v>70120.287508851237</v>
      </c>
      <c r="Z148" s="304">
        <f t="shared" si="79"/>
        <v>70985.4403175263</v>
      </c>
      <c r="AA148" s="304">
        <f t="shared" si="79"/>
        <v>71860.804443547036</v>
      </c>
      <c r="AB148" s="304">
        <f t="shared" si="79"/>
        <v>71320.113083219287</v>
      </c>
      <c r="AC148" s="303">
        <f t="shared" si="74"/>
        <v>2490818.5488779484</v>
      </c>
    </row>
    <row r="149" spans="2:31" s="291" customFormat="1" outlineLevel="1" x14ac:dyDescent="0.2">
      <c r="B149" s="305" t="s">
        <v>417</v>
      </c>
      <c r="C149" s="301" t="s">
        <v>137</v>
      </c>
      <c r="D149" s="303">
        <v>1.0000000000000001E-17</v>
      </c>
      <c r="E149" s="304">
        <f t="shared" ref="E149:AB149" si="80">E246</f>
        <v>0</v>
      </c>
      <c r="F149" s="304">
        <f t="shared" si="80"/>
        <v>0</v>
      </c>
      <c r="G149" s="304">
        <f t="shared" si="80"/>
        <v>0</v>
      </c>
      <c r="H149" s="304">
        <f t="shared" si="80"/>
        <v>242134.64459254907</v>
      </c>
      <c r="I149" s="304">
        <f t="shared" si="80"/>
        <v>243799.36055779006</v>
      </c>
      <c r="J149" s="304">
        <f t="shared" si="80"/>
        <v>245482.54809647301</v>
      </c>
      <c r="K149" s="304">
        <f t="shared" si="80"/>
        <v>247184.34127163337</v>
      </c>
      <c r="L149" s="304">
        <f t="shared" si="80"/>
        <v>248916.18157330502</v>
      </c>
      <c r="M149" s="304">
        <f t="shared" si="80"/>
        <v>250667.23967149868</v>
      </c>
      <c r="N149" s="304">
        <f t="shared" si="80"/>
        <v>252437.67155582731</v>
      </c>
      <c r="O149" s="304">
        <f t="shared" si="80"/>
        <v>254227.6380137637</v>
      </c>
      <c r="P149" s="304">
        <f t="shared" si="80"/>
        <v>256049.28700270451</v>
      </c>
      <c r="Q149" s="304">
        <f t="shared" si="80"/>
        <v>257891.16139305133</v>
      </c>
      <c r="R149" s="304">
        <f t="shared" si="80"/>
        <v>259753.44618741356</v>
      </c>
      <c r="S149" s="304">
        <f t="shared" si="80"/>
        <v>261636.33180921499</v>
      </c>
      <c r="T149" s="304">
        <f t="shared" si="80"/>
        <v>265123.25082354108</v>
      </c>
      <c r="U149" s="304">
        <f t="shared" si="80"/>
        <v>268654.29359297338</v>
      </c>
      <c r="V149" s="304">
        <f t="shared" si="80"/>
        <v>272243.37866348471</v>
      </c>
      <c r="W149" s="304">
        <f t="shared" si="80"/>
        <v>275878.33760018361</v>
      </c>
      <c r="X149" s="304">
        <f t="shared" si="80"/>
        <v>279559.80010450474</v>
      </c>
      <c r="Y149" s="304">
        <f t="shared" si="80"/>
        <v>283288.40809646511</v>
      </c>
      <c r="Z149" s="304">
        <f t="shared" si="80"/>
        <v>287064.81607617735</v>
      </c>
      <c r="AA149" s="304">
        <f t="shared" si="80"/>
        <v>290889.69149780506</v>
      </c>
      <c r="AB149" s="304">
        <f t="shared" si="80"/>
        <v>294763.71515637869</v>
      </c>
      <c r="AC149" s="303">
        <f t="shared" si="74"/>
        <v>2734658.6514488691</v>
      </c>
    </row>
    <row r="150" spans="2:31" s="291" customFormat="1" outlineLevel="1" x14ac:dyDescent="0.2">
      <c r="B150" s="305" t="s">
        <v>416</v>
      </c>
      <c r="C150" s="301" t="s">
        <v>137</v>
      </c>
      <c r="D150" s="303">
        <v>1.0000000000000001E-17</v>
      </c>
      <c r="E150" s="304">
        <f t="shared" ref="E150:AB150" si="81">E255</f>
        <v>0</v>
      </c>
      <c r="F150" s="304">
        <f t="shared" si="81"/>
        <v>0</v>
      </c>
      <c r="G150" s="304">
        <f t="shared" si="81"/>
        <v>0</v>
      </c>
      <c r="H150" s="304">
        <f t="shared" si="81"/>
        <v>65290.843820531314</v>
      </c>
      <c r="I150" s="304">
        <f t="shared" si="81"/>
        <v>65739.729234161365</v>
      </c>
      <c r="J150" s="304">
        <f t="shared" si="81"/>
        <v>66193.595449356391</v>
      </c>
      <c r="K150" s="304">
        <f t="shared" si="81"/>
        <v>66652.478615791377</v>
      </c>
      <c r="L150" s="304">
        <f t="shared" si="81"/>
        <v>67119.463895195819</v>
      </c>
      <c r="M150" s="304">
        <f t="shared" si="81"/>
        <v>67591.631192867018</v>
      </c>
      <c r="N150" s="304">
        <f t="shared" si="81"/>
        <v>68069.022570912508</v>
      </c>
      <c r="O150" s="304">
        <f t="shared" si="81"/>
        <v>68551.681385167583</v>
      </c>
      <c r="P150" s="304">
        <f t="shared" si="81"/>
        <v>69042.883294059618</v>
      </c>
      <c r="Q150" s="304">
        <f t="shared" si="81"/>
        <v>69539.538918699953</v>
      </c>
      <c r="R150" s="304">
        <f t="shared" si="81"/>
        <v>70041.698144459049</v>
      </c>
      <c r="S150" s="304">
        <f t="shared" si="81"/>
        <v>70549.412318413102</v>
      </c>
      <c r="T150" s="304">
        <f t="shared" si="81"/>
        <v>71489.649041506986</v>
      </c>
      <c r="U150" s="304">
        <f t="shared" si="81"/>
        <v>72441.783596108085</v>
      </c>
      <c r="V150" s="304">
        <f t="shared" si="81"/>
        <v>73409.569074273255</v>
      </c>
      <c r="W150" s="304">
        <f t="shared" si="81"/>
        <v>74389.724295883192</v>
      </c>
      <c r="X150" s="304">
        <f t="shared" si="81"/>
        <v>75382.419057945212</v>
      </c>
      <c r="Y150" s="304">
        <f t="shared" si="81"/>
        <v>76387.826452168898</v>
      </c>
      <c r="Z150" s="304">
        <f t="shared" si="81"/>
        <v>77406.122962446898</v>
      </c>
      <c r="AA150" s="304">
        <f t="shared" si="81"/>
        <v>78437.48856569099</v>
      </c>
      <c r="AB150" s="304">
        <f t="shared" si="81"/>
        <v>79482.106836135557</v>
      </c>
      <c r="AC150" s="303">
        <f t="shared" si="74"/>
        <v>737392.08701284335</v>
      </c>
    </row>
    <row r="151" spans="2:31" s="168" customFormat="1" ht="13.5" outlineLevel="1" thickBot="1" x14ac:dyDescent="0.25">
      <c r="B151" s="302" t="s">
        <v>415</v>
      </c>
      <c r="C151" s="301" t="s">
        <v>137</v>
      </c>
      <c r="D151" s="300">
        <f t="shared" ref="D151:AB151" si="82">SUM(D143:D150)</f>
        <v>8.0000000000000006E-17</v>
      </c>
      <c r="E151" s="300">
        <f t="shared" si="82"/>
        <v>0</v>
      </c>
      <c r="F151" s="300">
        <f t="shared" si="82"/>
        <v>0</v>
      </c>
      <c r="G151" s="300">
        <f t="shared" si="82"/>
        <v>-6750619.385140121</v>
      </c>
      <c r="H151" s="300">
        <f t="shared" si="82"/>
        <v>2806176.6437532166</v>
      </c>
      <c r="I151" s="300">
        <f t="shared" si="82"/>
        <v>518577.98134633736</v>
      </c>
      <c r="J151" s="300">
        <f t="shared" si="82"/>
        <v>539308.18953076855</v>
      </c>
      <c r="K151" s="300">
        <f t="shared" si="82"/>
        <v>559940.39475031174</v>
      </c>
      <c r="L151" s="300">
        <f t="shared" si="82"/>
        <v>580530.00749657059</v>
      </c>
      <c r="M151" s="300">
        <f t="shared" si="82"/>
        <v>601054.77147581836</v>
      </c>
      <c r="N151" s="300">
        <f t="shared" si="82"/>
        <v>621530.39632771362</v>
      </c>
      <c r="O151" s="300">
        <f t="shared" si="82"/>
        <v>846602.11742887017</v>
      </c>
      <c r="P151" s="300">
        <f t="shared" si="82"/>
        <v>456421.73120675836</v>
      </c>
      <c r="Q151" s="300">
        <f t="shared" si="82"/>
        <v>682908.31983709242</v>
      </c>
      <c r="R151" s="300">
        <f t="shared" si="82"/>
        <v>703392.15022137074</v>
      </c>
      <c r="S151" s="300">
        <f t="shared" si="82"/>
        <v>723908.00874454761</v>
      </c>
      <c r="T151" s="300">
        <f t="shared" si="82"/>
        <v>1057415.905651178</v>
      </c>
      <c r="U151" s="300">
        <f t="shared" si="82"/>
        <v>755608.10809442459</v>
      </c>
      <c r="V151" s="300">
        <f t="shared" si="82"/>
        <v>771977.41850583733</v>
      </c>
      <c r="W151" s="300">
        <f t="shared" si="82"/>
        <v>788680.9028158026</v>
      </c>
      <c r="X151" s="300">
        <f t="shared" si="82"/>
        <v>805732.91010290501</v>
      </c>
      <c r="Y151" s="300">
        <f t="shared" si="82"/>
        <v>823148.11370772216</v>
      </c>
      <c r="Z151" s="300">
        <f t="shared" si="82"/>
        <v>619320.50504330872</v>
      </c>
      <c r="AA151" s="300">
        <f t="shared" si="82"/>
        <v>859128.54867470963</v>
      </c>
      <c r="AB151" s="300">
        <f t="shared" si="82"/>
        <v>3922756.4869176089</v>
      </c>
      <c r="AC151" s="299">
        <f>SUM(AC146:AC150)</f>
        <v>9044164.3075646907</v>
      </c>
    </row>
    <row r="152" spans="2:31" s="291" customFormat="1" outlineLevel="1" x14ac:dyDescent="0.2">
      <c r="B152" s="298" t="s">
        <v>297</v>
      </c>
      <c r="C152" s="297">
        <f>IRR(D151:AB151,-0.8)</f>
        <v>0.12897495144123416</v>
      </c>
      <c r="D152" s="294"/>
      <c r="E152" s="294"/>
      <c r="F152" s="294"/>
      <c r="G152" s="294"/>
      <c r="H152" s="294"/>
      <c r="I152" s="294"/>
      <c r="J152" s="294"/>
      <c r="K152" s="294"/>
      <c r="L152" s="294"/>
      <c r="M152" s="294"/>
      <c r="N152" s="294"/>
      <c r="O152" s="294"/>
      <c r="P152" s="294"/>
      <c r="Q152" s="294"/>
      <c r="R152" s="294"/>
      <c r="S152" s="294"/>
      <c r="T152" s="294"/>
      <c r="U152" s="294"/>
      <c r="V152" s="294"/>
      <c r="W152" s="294"/>
      <c r="X152" s="294"/>
      <c r="Y152" s="294"/>
      <c r="Z152" s="294"/>
      <c r="AA152" s="294"/>
      <c r="AB152" s="294"/>
    </row>
    <row r="153" spans="2:31" s="291" customFormat="1" outlineLevel="1" x14ac:dyDescent="0.2">
      <c r="B153" s="296" t="s">
        <v>298</v>
      </c>
      <c r="C153" s="295">
        <f>NPV(0.05,D151:AB151)</f>
        <v>4204251.7765024938</v>
      </c>
      <c r="D153" s="294"/>
      <c r="E153" s="294"/>
      <c r="F153" s="294"/>
      <c r="G153" s="294"/>
      <c r="H153" s="294"/>
      <c r="I153" s="294"/>
      <c r="J153" s="294"/>
      <c r="K153" s="294"/>
      <c r="L153" s="294"/>
      <c r="M153" s="294"/>
      <c r="N153" s="294"/>
      <c r="O153" s="294"/>
      <c r="P153" s="294"/>
      <c r="Q153" s="294"/>
      <c r="R153" s="294"/>
      <c r="S153" s="294"/>
      <c r="T153" s="294"/>
      <c r="U153" s="294"/>
      <c r="V153" s="294"/>
      <c r="W153" s="294"/>
      <c r="X153" s="294"/>
      <c r="Y153" s="294"/>
      <c r="Z153" s="294"/>
      <c r="AA153" s="294"/>
      <c r="AB153" s="294"/>
    </row>
    <row r="154" spans="2:31" s="291" customFormat="1" ht="15" customHeight="1" outlineLevel="1" thickBot="1" x14ac:dyDescent="0.25">
      <c r="B154" s="293" t="s">
        <v>319</v>
      </c>
      <c r="C154" s="292">
        <f>ABS(NPV(0.05,D155:AB155)/NPV(0.05,D156:AB156))</f>
        <v>1.2559623369061172</v>
      </c>
    </row>
    <row r="155" spans="2:31" s="288" customFormat="1" outlineLevel="1" x14ac:dyDescent="0.2">
      <c r="B155" s="290"/>
      <c r="C155" s="289"/>
      <c r="D155" s="289">
        <f t="shared" ref="D155:AB155" si="83">D146+D147+D148+D150+D145</f>
        <v>5.0000000000000005E-17</v>
      </c>
      <c r="E155" s="289">
        <f t="shared" si="83"/>
        <v>0</v>
      </c>
      <c r="F155" s="289">
        <f t="shared" si="83"/>
        <v>0</v>
      </c>
      <c r="G155" s="289">
        <f t="shared" si="83"/>
        <v>0</v>
      </c>
      <c r="H155" s="289">
        <f t="shared" si="83"/>
        <v>2709967.5412977836</v>
      </c>
      <c r="I155" s="289">
        <f t="shared" si="83"/>
        <v>403953.89354249177</v>
      </c>
      <c r="J155" s="289">
        <f t="shared" si="83"/>
        <v>406409.24109353637</v>
      </c>
      <c r="K155" s="289">
        <f t="shared" si="83"/>
        <v>408891.12092301057</v>
      </c>
      <c r="L155" s="289">
        <f t="shared" si="83"/>
        <v>411418.37467580324</v>
      </c>
      <c r="M155" s="289">
        <f t="shared" si="83"/>
        <v>413973.00222667219</v>
      </c>
      <c r="N155" s="289">
        <f t="shared" si="83"/>
        <v>416555.18952215835</v>
      </c>
      <c r="O155" s="289">
        <f t="shared" si="83"/>
        <v>419165.12971992523</v>
      </c>
      <c r="P155" s="289">
        <f t="shared" si="83"/>
        <v>421822.76325335336</v>
      </c>
      <c r="Q155" s="289">
        <f t="shared" si="83"/>
        <v>424509.10930272279</v>
      </c>
      <c r="R155" s="289">
        <f t="shared" si="83"/>
        <v>427224.39724211069</v>
      </c>
      <c r="S155" s="289">
        <f t="shared" si="83"/>
        <v>429968.86450854805</v>
      </c>
      <c r="T155" s="289">
        <f t="shared" si="83"/>
        <v>435342.49166000687</v>
      </c>
      <c r="U155" s="289">
        <f t="shared" si="83"/>
        <v>440779.48319635075</v>
      </c>
      <c r="V155" s="289">
        <f t="shared" si="83"/>
        <v>446302.49218140484</v>
      </c>
      <c r="W155" s="289">
        <f t="shared" si="83"/>
        <v>451891.36659563001</v>
      </c>
      <c r="X155" s="289">
        <f t="shared" si="83"/>
        <v>457546.96641056554</v>
      </c>
      <c r="Y155" s="289">
        <f t="shared" si="83"/>
        <v>463270.16854989075</v>
      </c>
      <c r="Z155" s="289">
        <f t="shared" si="83"/>
        <v>469061.86740610702</v>
      </c>
      <c r="AA155" s="289">
        <f t="shared" si="83"/>
        <v>474922.97537486098</v>
      </c>
      <c r="AB155" s="289">
        <f t="shared" si="83"/>
        <v>3525885.9743713317</v>
      </c>
    </row>
    <row r="156" spans="2:31" s="288" customFormat="1" outlineLevel="1" x14ac:dyDescent="0.2">
      <c r="B156" s="290"/>
      <c r="C156" s="289"/>
      <c r="D156" s="289">
        <f t="shared" ref="D156:AB156" si="84">D143+D144</f>
        <v>2.0000000000000001E-17</v>
      </c>
      <c r="E156" s="289">
        <f t="shared" si="84"/>
        <v>0</v>
      </c>
      <c r="F156" s="289">
        <f t="shared" si="84"/>
        <v>0</v>
      </c>
      <c r="G156" s="289">
        <f t="shared" si="84"/>
        <v>-6750619.385140121</v>
      </c>
      <c r="H156" s="289">
        <f t="shared" si="84"/>
        <v>-145925.54213711622</v>
      </c>
      <c r="I156" s="289">
        <f t="shared" si="84"/>
        <v>-129175.27275394449</v>
      </c>
      <c r="J156" s="289">
        <f t="shared" si="84"/>
        <v>-112583.59965924078</v>
      </c>
      <c r="K156" s="289">
        <f t="shared" si="84"/>
        <v>-96135.067444332293</v>
      </c>
      <c r="L156" s="289">
        <f t="shared" si="84"/>
        <v>-79804.548752537768</v>
      </c>
      <c r="M156" s="289">
        <f t="shared" si="84"/>
        <v>-63585.470422352599</v>
      </c>
      <c r="N156" s="289">
        <f t="shared" si="84"/>
        <v>-47462.464750272047</v>
      </c>
      <c r="O156" s="289">
        <f t="shared" si="84"/>
        <v>173209.34969518127</v>
      </c>
      <c r="P156" s="289">
        <f t="shared" si="84"/>
        <v>-221450.31904929946</v>
      </c>
      <c r="Q156" s="289">
        <f t="shared" si="84"/>
        <v>508.04914131831902</v>
      </c>
      <c r="R156" s="289">
        <f t="shared" si="84"/>
        <v>16414.306791846546</v>
      </c>
      <c r="S156" s="289">
        <f t="shared" si="84"/>
        <v>32302.812426784571</v>
      </c>
      <c r="T156" s="289">
        <f t="shared" si="84"/>
        <v>356950.16316763009</v>
      </c>
      <c r="U156" s="289">
        <f t="shared" si="84"/>
        <v>46174.331305100408</v>
      </c>
      <c r="V156" s="289">
        <f t="shared" si="84"/>
        <v>53431.547660947836</v>
      </c>
      <c r="W156" s="289">
        <f t="shared" si="84"/>
        <v>60911.198619989053</v>
      </c>
      <c r="X156" s="289">
        <f t="shared" si="84"/>
        <v>68626.143587834682</v>
      </c>
      <c r="Y156" s="289">
        <f t="shared" si="84"/>
        <v>76589.537061366398</v>
      </c>
      <c r="Z156" s="289">
        <f t="shared" si="84"/>
        <v>-136806.17843897559</v>
      </c>
      <c r="AA156" s="289">
        <f t="shared" si="84"/>
        <v>93315.881802043528</v>
      </c>
      <c r="AB156" s="289">
        <f t="shared" si="84"/>
        <v>102106.79738989896</v>
      </c>
    </row>
    <row r="157" spans="2:31" s="285" customFormat="1" outlineLevel="1" x14ac:dyDescent="0.2">
      <c r="B157" s="287"/>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row>
    <row r="158" spans="2:31" s="258" customFormat="1" outlineLevel="1" x14ac:dyDescent="0.2">
      <c r="B158" s="258" t="s">
        <v>270</v>
      </c>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row>
    <row r="159" spans="2:31" outlineLevel="2" x14ac:dyDescent="0.2"/>
    <row r="160" spans="2:31" outlineLevel="2" x14ac:dyDescent="0.2">
      <c r="B160" s="277" t="s">
        <v>414</v>
      </c>
      <c r="C160" s="277" t="s">
        <v>413</v>
      </c>
    </row>
    <row r="161" spans="2:28" ht="15" outlineLevel="2" x14ac:dyDescent="0.2">
      <c r="B161" s="169" t="s">
        <v>412</v>
      </c>
      <c r="C161" s="177" t="s">
        <v>410</v>
      </c>
      <c r="D161" s="177">
        <f>F17</f>
        <v>50246.86</v>
      </c>
      <c r="E161" s="177">
        <f t="shared" ref="E161:AB161" si="85">E90/D90*D161</f>
        <v>50005.213013189488</v>
      </c>
      <c r="F161" s="177">
        <f t="shared" si="85"/>
        <v>49764.546334076702</v>
      </c>
      <c r="G161" s="177">
        <f t="shared" si="85"/>
        <v>49524.740841062281</v>
      </c>
      <c r="H161" s="177">
        <f t="shared" si="85"/>
        <v>48838.183604187179</v>
      </c>
      <c r="I161" s="177">
        <f t="shared" si="85"/>
        <v>48162.540883074842</v>
      </c>
      <c r="J161" s="177">
        <f t="shared" si="85"/>
        <v>47497.6047247448</v>
      </c>
      <c r="K161" s="177">
        <f t="shared" si="85"/>
        <v>46843.172425682227</v>
      </c>
      <c r="L161" s="177">
        <f t="shared" si="85"/>
        <v>46201.144321293534</v>
      </c>
      <c r="M161" s="177">
        <f t="shared" si="85"/>
        <v>45569.2036154569</v>
      </c>
      <c r="N161" s="177">
        <f t="shared" si="85"/>
        <v>44947.162875664384</v>
      </c>
      <c r="O161" s="177">
        <f t="shared" si="85"/>
        <v>44334.839284366863</v>
      </c>
      <c r="P161" s="177">
        <f t="shared" si="85"/>
        <v>43734.101112112556</v>
      </c>
      <c r="Q161" s="177">
        <f t="shared" si="85"/>
        <v>43142.70284917931</v>
      </c>
      <c r="R161" s="177">
        <f t="shared" si="85"/>
        <v>42560.475147557685</v>
      </c>
      <c r="S161" s="177">
        <f t="shared" si="85"/>
        <v>41987.252728722226</v>
      </c>
      <c r="T161" s="177">
        <f t="shared" si="85"/>
        <v>41671.725317349003</v>
      </c>
      <c r="U161" s="177">
        <f t="shared" si="85"/>
        <v>41358.207634710641</v>
      </c>
      <c r="V161" s="177">
        <f t="shared" si="85"/>
        <v>41048.709409542003</v>
      </c>
      <c r="W161" s="177">
        <f t="shared" si="85"/>
        <v>40741.220913108227</v>
      </c>
      <c r="X161" s="177">
        <f t="shared" si="85"/>
        <v>40435.742145409313</v>
      </c>
      <c r="Y161" s="177">
        <f t="shared" si="85"/>
        <v>40132.27310644526</v>
      </c>
      <c r="Z161" s="177">
        <f t="shared" si="85"/>
        <v>39830.813796216062</v>
      </c>
      <c r="AA161" s="177">
        <f t="shared" si="85"/>
        <v>39531.364214721732</v>
      </c>
      <c r="AB161" s="177">
        <f t="shared" si="85"/>
        <v>39233.924361962258</v>
      </c>
    </row>
    <row r="162" spans="2:28" ht="15" outlineLevel="2" x14ac:dyDescent="0.2">
      <c r="B162" s="169" t="s">
        <v>411</v>
      </c>
      <c r="C162" s="177" t="s">
        <v>410</v>
      </c>
      <c r="D162" s="177">
        <f>D161</f>
        <v>50246.86</v>
      </c>
      <c r="E162" s="177">
        <f>E161</f>
        <v>50005.213013189488</v>
      </c>
      <c r="F162" s="177">
        <f>F161</f>
        <v>49764.546334076702</v>
      </c>
      <c r="G162" s="177">
        <f>G161</f>
        <v>49524.740841062281</v>
      </c>
      <c r="H162" s="177">
        <f t="shared" ref="H162:AB162" si="86">H107/G107*G162</f>
        <v>42444.705886435571</v>
      </c>
      <c r="I162" s="177">
        <f t="shared" si="86"/>
        <v>41857.512537593146</v>
      </c>
      <c r="J162" s="177">
        <f t="shared" si="86"/>
        <v>41279.6241398118</v>
      </c>
      <c r="K162" s="177">
        <f t="shared" si="86"/>
        <v>40710.864525788951</v>
      </c>
      <c r="L162" s="177">
        <f t="shared" si="86"/>
        <v>40152.885255256304</v>
      </c>
      <c r="M162" s="177">
        <f t="shared" si="86"/>
        <v>39603.672827245311</v>
      </c>
      <c r="N162" s="177">
        <f t="shared" si="86"/>
        <v>39063.064346310515</v>
      </c>
      <c r="O162" s="177">
        <f t="shared" si="86"/>
        <v>38530.900927814313</v>
      </c>
      <c r="P162" s="177">
        <f t="shared" si="86"/>
        <v>38008.806264287501</v>
      </c>
      <c r="Q162" s="177">
        <f t="shared" si="86"/>
        <v>37494.828808954822</v>
      </c>
      <c r="R162" s="177">
        <f t="shared" si="86"/>
        <v>36988.821383401293</v>
      </c>
      <c r="S162" s="177">
        <f t="shared" si="86"/>
        <v>36490.640345953856</v>
      </c>
      <c r="T162" s="177">
        <f t="shared" si="86"/>
        <v>36216.419087370916</v>
      </c>
      <c r="U162" s="177">
        <f t="shared" si="86"/>
        <v>35943.94446100825</v>
      </c>
      <c r="V162" s="177">
        <f t="shared" si="86"/>
        <v>35674.963099086133</v>
      </c>
      <c r="W162" s="177">
        <f t="shared" si="86"/>
        <v>35407.728369384291</v>
      </c>
      <c r="X162" s="177">
        <f t="shared" si="86"/>
        <v>35142.240271902723</v>
      </c>
      <c r="Y162" s="177">
        <f t="shared" si="86"/>
        <v>34878.49880664143</v>
      </c>
      <c r="Z162" s="177">
        <f t="shared" si="86"/>
        <v>34616.503973600396</v>
      </c>
      <c r="AA162" s="177">
        <f t="shared" si="86"/>
        <v>34356.255772779645</v>
      </c>
      <c r="AB162" s="177">
        <f t="shared" si="86"/>
        <v>34097.754204179168</v>
      </c>
    </row>
    <row r="163" spans="2:28" outlineLevel="2" x14ac:dyDescent="0.2">
      <c r="B163" s="169" t="s">
        <v>409</v>
      </c>
      <c r="C163" s="177" t="s">
        <v>407</v>
      </c>
      <c r="D163" s="284">
        <f t="shared" ref="D163:AB163" si="87">D161*$D$166*$D$165/$D$167</f>
        <v>58097.931875000002</v>
      </c>
      <c r="E163" s="284">
        <f t="shared" si="87"/>
        <v>57818.527546500343</v>
      </c>
      <c r="F163" s="284">
        <f t="shared" si="87"/>
        <v>57540.256698776182</v>
      </c>
      <c r="G163" s="284">
        <f t="shared" si="87"/>
        <v>57262.981597478254</v>
      </c>
      <c r="H163" s="284">
        <f t="shared" si="87"/>
        <v>56469.149792341421</v>
      </c>
      <c r="I163" s="284">
        <f t="shared" si="87"/>
        <v>55687.937896055279</v>
      </c>
      <c r="J163" s="284">
        <f t="shared" si="87"/>
        <v>54919.105462986176</v>
      </c>
      <c r="K163" s="284">
        <f t="shared" si="87"/>
        <v>54162.418117195069</v>
      </c>
      <c r="L163" s="284">
        <f t="shared" si="87"/>
        <v>53420.073121495647</v>
      </c>
      <c r="M163" s="284">
        <f t="shared" si="87"/>
        <v>52689.391680372035</v>
      </c>
      <c r="N163" s="284">
        <f t="shared" si="87"/>
        <v>51970.157074986942</v>
      </c>
      <c r="O163" s="284">
        <f t="shared" si="87"/>
        <v>51262.157922549181</v>
      </c>
      <c r="P163" s="284">
        <f t="shared" si="87"/>
        <v>50567.55441088014</v>
      </c>
      <c r="Q163" s="284">
        <f t="shared" si="87"/>
        <v>49883.750169363579</v>
      </c>
      <c r="R163" s="284">
        <f t="shared" si="87"/>
        <v>49210.549389363572</v>
      </c>
      <c r="S163" s="284">
        <f t="shared" si="87"/>
        <v>48547.760967585069</v>
      </c>
      <c r="T163" s="284">
        <f t="shared" si="87"/>
        <v>48182.932398184777</v>
      </c>
      <c r="U163" s="284">
        <f t="shared" si="87"/>
        <v>47820.427577634175</v>
      </c>
      <c r="V163" s="284">
        <f t="shared" si="87"/>
        <v>47462.570254782942</v>
      </c>
      <c r="W163" s="284">
        <f t="shared" si="87"/>
        <v>47107.036680781384</v>
      </c>
      <c r="X163" s="284">
        <f t="shared" si="87"/>
        <v>46753.826855629515</v>
      </c>
      <c r="Y163" s="284">
        <f t="shared" si="87"/>
        <v>46402.940779327328</v>
      </c>
      <c r="Z163" s="284">
        <f t="shared" si="87"/>
        <v>46054.378451874822</v>
      </c>
      <c r="AA163" s="284">
        <f t="shared" si="87"/>
        <v>45708.139873272004</v>
      </c>
      <c r="AB163" s="284">
        <f t="shared" si="87"/>
        <v>45364.225043518854</v>
      </c>
    </row>
    <row r="164" spans="2:28" outlineLevel="2" x14ac:dyDescent="0.2">
      <c r="B164" s="169" t="s">
        <v>408</v>
      </c>
      <c r="C164" s="177" t="s">
        <v>407</v>
      </c>
      <c r="D164" s="284">
        <f t="shared" ref="D164:AB164" si="88">D162*$D$166*$D$165/$D$167</f>
        <v>58097.931875000002</v>
      </c>
      <c r="E164" s="284">
        <f t="shared" si="88"/>
        <v>57818.527546500343</v>
      </c>
      <c r="F164" s="284">
        <f t="shared" si="88"/>
        <v>57540.256698776182</v>
      </c>
      <c r="G164" s="284">
        <f t="shared" si="88"/>
        <v>57262.981597478254</v>
      </c>
      <c r="H164" s="284">
        <f t="shared" si="88"/>
        <v>49076.691181191134</v>
      </c>
      <c r="I164" s="284">
        <f t="shared" si="88"/>
        <v>48397.748871592077</v>
      </c>
      <c r="J164" s="284">
        <f t="shared" si="88"/>
        <v>47729.565411657393</v>
      </c>
      <c r="K164" s="284">
        <f t="shared" si="88"/>
        <v>47071.937107943479</v>
      </c>
      <c r="L164" s="284">
        <f t="shared" si="88"/>
        <v>46426.7735763901</v>
      </c>
      <c r="M164" s="284">
        <f t="shared" si="88"/>
        <v>45791.746706502388</v>
      </c>
      <c r="N164" s="284">
        <f t="shared" si="88"/>
        <v>45166.66815042153</v>
      </c>
      <c r="O164" s="284">
        <f t="shared" si="88"/>
        <v>44551.354197785302</v>
      </c>
      <c r="P164" s="284">
        <f t="shared" si="88"/>
        <v>43947.682243082425</v>
      </c>
      <c r="Q164" s="284">
        <f t="shared" si="88"/>
        <v>43353.395810354014</v>
      </c>
      <c r="R164" s="284">
        <f t="shared" si="88"/>
        <v>42768.324724557744</v>
      </c>
      <c r="S164" s="284">
        <f t="shared" si="88"/>
        <v>42192.302900009148</v>
      </c>
      <c r="T164" s="284">
        <f t="shared" si="88"/>
        <v>41875.23456977262</v>
      </c>
      <c r="U164" s="284">
        <f t="shared" si="88"/>
        <v>41560.18578304079</v>
      </c>
      <c r="V164" s="284">
        <f t="shared" si="88"/>
        <v>41249.176083318343</v>
      </c>
      <c r="W164" s="284">
        <f t="shared" si="88"/>
        <v>40940.185927100581</v>
      </c>
      <c r="X164" s="284">
        <f t="shared" si="88"/>
        <v>40633.215314387518</v>
      </c>
      <c r="Y164" s="284">
        <f t="shared" si="88"/>
        <v>40328.264245179154</v>
      </c>
      <c r="Z164" s="284">
        <f t="shared" si="88"/>
        <v>40025.33271947546</v>
      </c>
      <c r="AA164" s="284">
        <f t="shared" si="88"/>
        <v>39724.420737276458</v>
      </c>
      <c r="AB164" s="284">
        <f t="shared" si="88"/>
        <v>39425.528298582161</v>
      </c>
    </row>
    <row r="165" spans="2:28" outlineLevel="2" x14ac:dyDescent="0.2">
      <c r="B165" s="282" t="s">
        <v>406</v>
      </c>
      <c r="C165" s="177" t="s">
        <v>279</v>
      </c>
      <c r="D165" s="283">
        <v>11.1</v>
      </c>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row>
    <row r="166" spans="2:28" ht="15" outlineLevel="2" x14ac:dyDescent="0.2">
      <c r="B166" s="282" t="s">
        <v>288</v>
      </c>
      <c r="C166" s="177" t="s">
        <v>405</v>
      </c>
      <c r="D166" s="281">
        <v>375</v>
      </c>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row>
    <row r="167" spans="2:28" outlineLevel="2" x14ac:dyDescent="0.2">
      <c r="B167" s="169" t="s">
        <v>404</v>
      </c>
      <c r="C167" s="177" t="s">
        <v>277</v>
      </c>
      <c r="D167" s="281">
        <v>3600</v>
      </c>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row>
    <row r="168" spans="2:28" outlineLevel="2" x14ac:dyDescent="0.2">
      <c r="B168" s="515" t="s">
        <v>403</v>
      </c>
      <c r="C168" s="515"/>
      <c r="D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row>
    <row r="169" spans="2:28" outlineLevel="2" x14ac:dyDescent="0.2">
      <c r="B169" s="515"/>
      <c r="C169" s="515"/>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row>
    <row r="170" spans="2:28" outlineLevel="2" x14ac:dyDescent="0.2">
      <c r="B170" s="515"/>
      <c r="C170" s="515"/>
    </row>
    <row r="171" spans="2:28" outlineLevel="1" x14ac:dyDescent="0.2">
      <c r="B171" s="280"/>
      <c r="C171" s="280"/>
    </row>
    <row r="172" spans="2:28" s="258" customFormat="1" ht="14.25" outlineLevel="1" x14ac:dyDescent="0.25">
      <c r="B172" s="258" t="s">
        <v>402</v>
      </c>
      <c r="C172" s="259"/>
      <c r="D172" s="259"/>
      <c r="E172" s="259"/>
      <c r="F172" s="259"/>
      <c r="G172" s="259"/>
      <c r="H172" s="259"/>
      <c r="I172" s="259"/>
      <c r="J172" s="259"/>
      <c r="K172" s="259"/>
      <c r="L172" s="259"/>
      <c r="M172" s="259"/>
      <c r="N172" s="259"/>
      <c r="O172" s="259"/>
      <c r="P172" s="259"/>
      <c r="Q172" s="259"/>
      <c r="R172" s="259"/>
      <c r="S172" s="259"/>
      <c r="T172" s="259"/>
      <c r="U172" s="259"/>
      <c r="V172" s="259"/>
      <c r="W172" s="259"/>
      <c r="X172" s="259"/>
    </row>
    <row r="173" spans="2:28" outlineLevel="2" x14ac:dyDescent="0.2"/>
    <row r="174" spans="2:28" ht="30" customHeight="1" outlineLevel="2" x14ac:dyDescent="0.2">
      <c r="B174" s="513" t="s">
        <v>273</v>
      </c>
      <c r="C174" s="511" t="s">
        <v>274</v>
      </c>
      <c r="D174" s="511"/>
      <c r="F174" s="279"/>
      <c r="G174" s="278"/>
      <c r="H174" s="278"/>
      <c r="I174" s="278"/>
      <c r="J174" s="278"/>
      <c r="K174" s="278"/>
      <c r="L174" s="278"/>
      <c r="M174" s="278"/>
      <c r="N174" s="278"/>
      <c r="O174" s="278"/>
      <c r="P174" s="278"/>
      <c r="Q174" s="278"/>
    </row>
    <row r="175" spans="2:28" ht="31.9" customHeight="1" outlineLevel="2" x14ac:dyDescent="0.2">
      <c r="B175" s="514"/>
      <c r="C175" s="264" t="s">
        <v>271</v>
      </c>
      <c r="D175" s="264" t="s">
        <v>275</v>
      </c>
      <c r="F175" s="278"/>
      <c r="G175" s="278"/>
      <c r="H175" s="278"/>
      <c r="I175" s="278"/>
      <c r="J175" s="278"/>
      <c r="K175" s="278"/>
      <c r="L175" s="278"/>
      <c r="M175" s="278"/>
      <c r="N175" s="278"/>
      <c r="O175" s="278"/>
      <c r="P175" s="278"/>
      <c r="Q175" s="278"/>
    </row>
    <row r="176" spans="2:28" outlineLevel="2" x14ac:dyDescent="0.2">
      <c r="B176" s="178" t="s">
        <v>276</v>
      </c>
      <c r="C176" s="272">
        <v>61</v>
      </c>
      <c r="D176" s="271">
        <f>C176*80%</f>
        <v>48.800000000000004</v>
      </c>
      <c r="F176" s="278"/>
      <c r="G176" s="278"/>
      <c r="H176" s="278"/>
      <c r="I176" s="278"/>
      <c r="J176" s="278"/>
      <c r="K176" s="278"/>
      <c r="L176" s="278"/>
      <c r="M176" s="278"/>
      <c r="N176" s="278"/>
      <c r="O176" s="278"/>
      <c r="P176" s="278"/>
      <c r="Q176" s="278"/>
    </row>
    <row r="177" spans="2:28" outlineLevel="2" x14ac:dyDescent="0.2">
      <c r="B177" s="274"/>
      <c r="C177" s="242"/>
      <c r="D177" s="242"/>
      <c r="E177" s="242"/>
      <c r="F177" s="242"/>
    </row>
    <row r="178" spans="2:28" outlineLevel="2" x14ac:dyDescent="0.2">
      <c r="B178" s="277" t="s">
        <v>278</v>
      </c>
      <c r="C178" s="276" t="s">
        <v>279</v>
      </c>
      <c r="D178" s="242"/>
      <c r="E178" s="242"/>
      <c r="F178" s="242"/>
      <c r="G178" s="242"/>
    </row>
    <row r="179" spans="2:28" outlineLevel="2" x14ac:dyDescent="0.2">
      <c r="B179" s="178" t="s">
        <v>280</v>
      </c>
      <c r="C179" s="275">
        <v>11.1</v>
      </c>
      <c r="D179" s="242"/>
      <c r="E179" s="242"/>
      <c r="F179" s="242"/>
      <c r="G179" s="242"/>
      <c r="H179" s="242"/>
    </row>
    <row r="180" spans="2:28" ht="15" outlineLevel="2" x14ac:dyDescent="0.2">
      <c r="B180" s="277" t="s">
        <v>401</v>
      </c>
      <c r="C180" s="276" t="s">
        <v>400</v>
      </c>
    </row>
    <row r="181" spans="2:28" outlineLevel="2" x14ac:dyDescent="0.2">
      <c r="B181" s="178" t="s">
        <v>280</v>
      </c>
      <c r="C181" s="275">
        <v>375</v>
      </c>
    </row>
    <row r="182" spans="2:28" outlineLevel="2" x14ac:dyDescent="0.2">
      <c r="B182" s="274"/>
      <c r="C182" s="273"/>
    </row>
    <row r="183" spans="2:28" outlineLevel="2" x14ac:dyDescent="0.2">
      <c r="B183" s="511" t="s">
        <v>399</v>
      </c>
      <c r="C183" s="511"/>
    </row>
    <row r="184" spans="2:28" outlineLevel="2" x14ac:dyDescent="0.2">
      <c r="B184" s="178" t="s">
        <v>390</v>
      </c>
      <c r="C184" s="185" t="s">
        <v>388</v>
      </c>
      <c r="D184" s="250">
        <f t="shared" ref="D184:AB184" si="89">D163*$C$176*$D$167/1000000</f>
        <v>12758.305839750003</v>
      </c>
      <c r="E184" s="250">
        <f t="shared" si="89"/>
        <v>12696.948649211476</v>
      </c>
      <c r="F184" s="250">
        <f t="shared" si="89"/>
        <v>12635.840371051248</v>
      </c>
      <c r="G184" s="250">
        <f t="shared" si="89"/>
        <v>12574.950758806224</v>
      </c>
      <c r="H184" s="250">
        <f t="shared" si="89"/>
        <v>12400.625294398176</v>
      </c>
      <c r="I184" s="250">
        <f t="shared" si="89"/>
        <v>12229.071161973739</v>
      </c>
      <c r="J184" s="250">
        <f t="shared" si="89"/>
        <v>12060.235559671764</v>
      </c>
      <c r="K184" s="250">
        <f t="shared" si="89"/>
        <v>11894.067018536038</v>
      </c>
      <c r="L184" s="250">
        <f t="shared" si="89"/>
        <v>11731.048057480444</v>
      </c>
      <c r="M184" s="250">
        <f t="shared" si="89"/>
        <v>11570.590413009699</v>
      </c>
      <c r="N184" s="250">
        <f t="shared" si="89"/>
        <v>11412.646493667133</v>
      </c>
      <c r="O184" s="250">
        <f t="shared" si="89"/>
        <v>11257.1698797918</v>
      </c>
      <c r="P184" s="250">
        <f t="shared" si="89"/>
        <v>11104.634948629278</v>
      </c>
      <c r="Q184" s="250">
        <f t="shared" si="89"/>
        <v>10954.471537192241</v>
      </c>
      <c r="R184" s="250">
        <f t="shared" si="89"/>
        <v>10806.63664590424</v>
      </c>
      <c r="S184" s="250">
        <f t="shared" si="89"/>
        <v>10661.08830848168</v>
      </c>
      <c r="T184" s="250">
        <f t="shared" si="89"/>
        <v>10580.971954641376</v>
      </c>
      <c r="U184" s="250">
        <f t="shared" si="89"/>
        <v>10501.365896048464</v>
      </c>
      <c r="V184" s="250">
        <f t="shared" si="89"/>
        <v>10422.780427950334</v>
      </c>
      <c r="W184" s="250">
        <f t="shared" si="89"/>
        <v>10344.705255099592</v>
      </c>
      <c r="X184" s="250">
        <f t="shared" si="89"/>
        <v>10267.14037749624</v>
      </c>
      <c r="Y184" s="250">
        <f t="shared" si="89"/>
        <v>10190.085795140281</v>
      </c>
      <c r="Z184" s="250">
        <f t="shared" si="89"/>
        <v>10113.541508031711</v>
      </c>
      <c r="AA184" s="250">
        <f t="shared" si="89"/>
        <v>10037.507516170532</v>
      </c>
      <c r="AB184" s="250">
        <f t="shared" si="89"/>
        <v>9961.9838195567409</v>
      </c>
    </row>
    <row r="185" spans="2:28" outlineLevel="2" x14ac:dyDescent="0.2">
      <c r="B185" s="178" t="s">
        <v>389</v>
      </c>
      <c r="C185" s="185" t="s">
        <v>388</v>
      </c>
      <c r="D185" s="250">
        <f>D164*$C$176*$D$167/1000000</f>
        <v>12758.305839750003</v>
      </c>
      <c r="E185" s="250">
        <f>E164*$C$176*$D$167/1000000</f>
        <v>12696.948649211476</v>
      </c>
      <c r="F185" s="250">
        <f>F164*$C$176*$D$167/1000000</f>
        <v>12635.840371051248</v>
      </c>
      <c r="G185" s="250">
        <f>G164*$C$176*$D$167/1000000</f>
        <v>12574.950758806224</v>
      </c>
      <c r="H185" s="250">
        <f t="shared" ref="H185:AB185" si="90">H164*$D$176*$D$167/1000000</f>
        <v>8621.7931067116588</v>
      </c>
      <c r="I185" s="250">
        <f t="shared" si="90"/>
        <v>8502.5165217612976</v>
      </c>
      <c r="J185" s="250">
        <f t="shared" si="90"/>
        <v>8385.1300515199709</v>
      </c>
      <c r="K185" s="250">
        <f t="shared" si="90"/>
        <v>8269.5979111235101</v>
      </c>
      <c r="L185" s="250">
        <f t="shared" si="90"/>
        <v>8156.2555819002137</v>
      </c>
      <c r="M185" s="250">
        <f t="shared" si="90"/>
        <v>8044.6940613983406</v>
      </c>
      <c r="N185" s="250">
        <f t="shared" si="90"/>
        <v>7934.8802606660547</v>
      </c>
      <c r="O185" s="250">
        <f t="shared" si="90"/>
        <v>7826.7819054669226</v>
      </c>
      <c r="P185" s="250">
        <f t="shared" si="90"/>
        <v>7720.7288164647207</v>
      </c>
      <c r="Q185" s="250">
        <f t="shared" si="90"/>
        <v>7616.3245759629945</v>
      </c>
      <c r="R185" s="250">
        <f t="shared" si="90"/>
        <v>7513.5392876103051</v>
      </c>
      <c r="S185" s="250">
        <f t="shared" si="90"/>
        <v>7412.3437734736081</v>
      </c>
      <c r="T185" s="250">
        <f t="shared" si="90"/>
        <v>7356.6412092176543</v>
      </c>
      <c r="U185" s="250">
        <f t="shared" si="90"/>
        <v>7301.293438364607</v>
      </c>
      <c r="V185" s="250">
        <f t="shared" si="90"/>
        <v>7246.6552543173666</v>
      </c>
      <c r="W185" s="250">
        <f t="shared" si="90"/>
        <v>7192.3718636730309</v>
      </c>
      <c r="X185" s="250">
        <f t="shared" si="90"/>
        <v>7138.4432664316</v>
      </c>
      <c r="Y185" s="250">
        <f t="shared" si="90"/>
        <v>7084.8694625930748</v>
      </c>
      <c r="Z185" s="250">
        <f t="shared" si="90"/>
        <v>7031.6504521574498</v>
      </c>
      <c r="AA185" s="250">
        <f t="shared" si="90"/>
        <v>6978.7862351247295</v>
      </c>
      <c r="AB185" s="250">
        <f t="shared" si="90"/>
        <v>6926.2768114949149</v>
      </c>
    </row>
    <row r="186" spans="2:28" s="182" customFormat="1" outlineLevel="2" x14ac:dyDescent="0.2">
      <c r="B186" s="269" t="s">
        <v>272</v>
      </c>
      <c r="C186" s="268" t="s">
        <v>388</v>
      </c>
      <c r="D186" s="249">
        <f t="shared" ref="D186:AB186" si="91">D184-D185</f>
        <v>0</v>
      </c>
      <c r="E186" s="249">
        <f t="shared" si="91"/>
        <v>0</v>
      </c>
      <c r="F186" s="249">
        <f t="shared" si="91"/>
        <v>0</v>
      </c>
      <c r="G186" s="249">
        <f t="shared" si="91"/>
        <v>0</v>
      </c>
      <c r="H186" s="249">
        <f t="shared" si="91"/>
        <v>3778.8321876865175</v>
      </c>
      <c r="I186" s="249">
        <f t="shared" si="91"/>
        <v>3726.5546402124419</v>
      </c>
      <c r="J186" s="249">
        <f t="shared" si="91"/>
        <v>3675.1055081517934</v>
      </c>
      <c r="K186" s="249">
        <f t="shared" si="91"/>
        <v>3624.4691074125276</v>
      </c>
      <c r="L186" s="249">
        <f t="shared" si="91"/>
        <v>3574.7924755802305</v>
      </c>
      <c r="M186" s="249">
        <f t="shared" si="91"/>
        <v>3525.8963516113581</v>
      </c>
      <c r="N186" s="249">
        <f t="shared" si="91"/>
        <v>3477.766233001078</v>
      </c>
      <c r="O186" s="249">
        <f t="shared" si="91"/>
        <v>3430.3879743248772</v>
      </c>
      <c r="P186" s="249">
        <f t="shared" si="91"/>
        <v>3383.9061321645577</v>
      </c>
      <c r="Q186" s="249">
        <f t="shared" si="91"/>
        <v>3338.1469612292467</v>
      </c>
      <c r="R186" s="249">
        <f t="shared" si="91"/>
        <v>3293.097358293935</v>
      </c>
      <c r="S186" s="249">
        <f t="shared" si="91"/>
        <v>3248.7445350080716</v>
      </c>
      <c r="T186" s="249">
        <f t="shared" si="91"/>
        <v>3224.330745423722</v>
      </c>
      <c r="U186" s="249">
        <f t="shared" si="91"/>
        <v>3200.0724576838575</v>
      </c>
      <c r="V186" s="249">
        <f t="shared" si="91"/>
        <v>3176.1251736329677</v>
      </c>
      <c r="W186" s="249">
        <f t="shared" si="91"/>
        <v>3152.3333914265613</v>
      </c>
      <c r="X186" s="249">
        <f t="shared" si="91"/>
        <v>3128.69711106464</v>
      </c>
      <c r="Y186" s="249">
        <f t="shared" si="91"/>
        <v>3105.2163325472065</v>
      </c>
      <c r="Z186" s="249">
        <f t="shared" si="91"/>
        <v>3081.8910558742609</v>
      </c>
      <c r="AA186" s="249">
        <f t="shared" si="91"/>
        <v>3058.7212810458022</v>
      </c>
      <c r="AB186" s="249">
        <f t="shared" si="91"/>
        <v>3035.7070080618259</v>
      </c>
    </row>
    <row r="187" spans="2:28" s="182" customFormat="1" outlineLevel="2" x14ac:dyDescent="0.2">
      <c r="B187" s="492"/>
      <c r="C187" s="493"/>
      <c r="D187" s="494"/>
      <c r="E187" s="494"/>
      <c r="F187" s="494"/>
      <c r="G187" s="494"/>
      <c r="H187" s="494"/>
      <c r="I187" s="494"/>
      <c r="J187" s="494"/>
      <c r="K187" s="494"/>
      <c r="L187" s="494"/>
      <c r="M187" s="494"/>
      <c r="N187" s="494"/>
      <c r="O187" s="494"/>
      <c r="P187" s="494"/>
      <c r="Q187" s="494"/>
      <c r="R187" s="494"/>
      <c r="S187" s="494"/>
      <c r="T187" s="494"/>
      <c r="U187" s="494"/>
      <c r="V187" s="494"/>
      <c r="W187" s="494"/>
      <c r="X187" s="494"/>
      <c r="Y187" s="494"/>
      <c r="Z187" s="494"/>
      <c r="AA187" s="494"/>
      <c r="AB187" s="494"/>
    </row>
    <row r="188" spans="2:28" s="182" customFormat="1" ht="14.25" outlineLevel="2" x14ac:dyDescent="0.2">
      <c r="B188" s="178" t="s">
        <v>527</v>
      </c>
      <c r="C188" s="268" t="s">
        <v>516</v>
      </c>
      <c r="D188" s="250">
        <f>D184*D193</f>
        <v>242407.81095525005</v>
      </c>
      <c r="E188" s="250">
        <f t="shared" ref="E188:L188" si="92">E184*E193</f>
        <v>247755.55899206351</v>
      </c>
      <c r="F188" s="250">
        <f t="shared" si="92"/>
        <v>252480.66883617075</v>
      </c>
      <c r="G188" s="250">
        <f t="shared" si="92"/>
        <v>256289.29478627077</v>
      </c>
      <c r="H188" s="250">
        <f t="shared" si="92"/>
        <v>257791.10582776123</v>
      </c>
      <c r="I188" s="250">
        <f t="shared" si="92"/>
        <v>259309.23782577578</v>
      </c>
      <c r="J188" s="250">
        <f t="shared" si="92"/>
        <v>260843.77615826402</v>
      </c>
      <c r="K188" s="250">
        <f t="shared" si="92"/>
        <v>262394.81031997525</v>
      </c>
      <c r="L188" s="250">
        <f t="shared" si="92"/>
        <v>263974.42082695488</v>
      </c>
      <c r="M188" s="250">
        <f t="shared" ref="M188:AB188" si="93">M184*M193</f>
        <v>265571.04580025701</v>
      </c>
      <c r="N188" s="250">
        <f t="shared" si="93"/>
        <v>267184.79555626301</v>
      </c>
      <c r="O188" s="250">
        <f t="shared" si="93"/>
        <v>268815.78494822863</v>
      </c>
      <c r="P188" s="250">
        <f t="shared" si="93"/>
        <v>270476.7908806944</v>
      </c>
      <c r="Q188" s="250">
        <f t="shared" si="93"/>
        <v>272155.62936539284</v>
      </c>
      <c r="R188" s="250">
        <f t="shared" si="93"/>
        <v>273852.43801654736</v>
      </c>
      <c r="S188" s="250">
        <f t="shared" si="93"/>
        <v>275567.35950956796</v>
      </c>
      <c r="T188" s="250">
        <f t="shared" si="93"/>
        <v>278966.44569306477</v>
      </c>
      <c r="U188" s="250">
        <f t="shared" si="93"/>
        <v>282404.99134969531</v>
      </c>
      <c r="V188" s="250">
        <f t="shared" si="93"/>
        <v>285897.48711229302</v>
      </c>
      <c r="W188" s="250">
        <f t="shared" si="93"/>
        <v>289430.99808642414</v>
      </c>
      <c r="X188" s="250">
        <f t="shared" si="93"/>
        <v>293006.0534297963</v>
      </c>
      <c r="Y188" s="250">
        <f t="shared" si="93"/>
        <v>296623.192771292</v>
      </c>
      <c r="Z188" s="250">
        <f t="shared" si="93"/>
        <v>300282.96653237124</v>
      </c>
      <c r="AA188" s="250">
        <f t="shared" si="93"/>
        <v>303985.9362594267</v>
      </c>
      <c r="AB188" s="250">
        <f t="shared" si="93"/>
        <v>301698.70094847621</v>
      </c>
    </row>
    <row r="189" spans="2:28" s="182" customFormat="1" ht="14.25" outlineLevel="2" x14ac:dyDescent="0.2">
      <c r="B189" s="178" t="s">
        <v>528</v>
      </c>
      <c r="C189" s="268" t="s">
        <v>516</v>
      </c>
      <c r="D189" s="250">
        <f>D185*D193</f>
        <v>242407.81095525005</v>
      </c>
      <c r="E189" s="250">
        <f t="shared" ref="E189:L189" si="94">E185*E193</f>
        <v>247755.55899206351</v>
      </c>
      <c r="F189" s="250">
        <f t="shared" si="94"/>
        <v>252480.66883617075</v>
      </c>
      <c r="G189" s="250">
        <f t="shared" si="94"/>
        <v>256289.29478627077</v>
      </c>
      <c r="H189" s="250">
        <f t="shared" si="94"/>
        <v>179234.63748246699</v>
      </c>
      <c r="I189" s="250">
        <f t="shared" si="94"/>
        <v>180290.15038482632</v>
      </c>
      <c r="J189" s="250">
        <f t="shared" si="94"/>
        <v>181357.07013305931</v>
      </c>
      <c r="K189" s="250">
        <f t="shared" si="94"/>
        <v>182435.4589502553</v>
      </c>
      <c r="L189" s="250">
        <f t="shared" si="94"/>
        <v>183533.71606689596</v>
      </c>
      <c r="M189" s="250">
        <f t="shared" ref="M189:AB189" si="95">M185*M193</f>
        <v>184643.80284574884</v>
      </c>
      <c r="N189" s="250">
        <f t="shared" si="95"/>
        <v>185765.79598657656</v>
      </c>
      <c r="O189" s="250">
        <f t="shared" si="95"/>
        <v>186899.77534349833</v>
      </c>
      <c r="P189" s="250">
        <f t="shared" si="95"/>
        <v>188054.62432560651</v>
      </c>
      <c r="Q189" s="250">
        <f t="shared" si="95"/>
        <v>189221.8717612011</v>
      </c>
      <c r="R189" s="250">
        <f t="shared" si="95"/>
        <v>190401.61332943806</v>
      </c>
      <c r="S189" s="250">
        <f t="shared" si="95"/>
        <v>191593.94822836903</v>
      </c>
      <c r="T189" s="250">
        <f t="shared" si="95"/>
        <v>193957.23371843461</v>
      </c>
      <c r="U189" s="250">
        <f t="shared" si="95"/>
        <v>196347.95422934651</v>
      </c>
      <c r="V189" s="250">
        <f t="shared" si="95"/>
        <v>198776.18467549881</v>
      </c>
      <c r="W189" s="250">
        <f t="shared" si="95"/>
        <v>201232.93180203409</v>
      </c>
      <c r="X189" s="250">
        <f t="shared" si="95"/>
        <v>203718.56351687375</v>
      </c>
      <c r="Y189" s="250">
        <f t="shared" si="95"/>
        <v>206233.45500824167</v>
      </c>
      <c r="Z189" s="250">
        <f t="shared" si="95"/>
        <v>208777.98896812595</v>
      </c>
      <c r="AA189" s="250">
        <f t="shared" si="95"/>
        <v>211352.55582335626</v>
      </c>
      <c r="AB189" s="250">
        <f t="shared" si="95"/>
        <v>209762.307818178</v>
      </c>
    </row>
    <row r="190" spans="2:28" s="182" customFormat="1" ht="14.25" outlineLevel="2" x14ac:dyDescent="0.2">
      <c r="B190" s="178" t="s">
        <v>527</v>
      </c>
      <c r="C190" s="268" t="s">
        <v>517</v>
      </c>
      <c r="D190" s="250">
        <f>NPV(0.05,D188:AB188)</f>
        <v>3769933.0510259401</v>
      </c>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c r="AB190" s="181"/>
    </row>
    <row r="191" spans="2:28" s="182" customFormat="1" ht="14.25" outlineLevel="2" x14ac:dyDescent="0.2">
      <c r="B191" s="178" t="s">
        <v>528</v>
      </c>
      <c r="C191" s="268" t="s">
        <v>517</v>
      </c>
      <c r="D191" s="250">
        <f>NPV(0.05,D189:AB189)</f>
        <v>2890669.1214803872</v>
      </c>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c r="AB191" s="181"/>
    </row>
    <row r="192" spans="2:28" outlineLevel="2" x14ac:dyDescent="0.2">
      <c r="B192" s="274"/>
      <c r="C192" s="265"/>
    </row>
    <row r="193" spans="2:28" ht="14.25" outlineLevel="2" x14ac:dyDescent="0.25">
      <c r="B193" s="169" t="s">
        <v>398</v>
      </c>
      <c r="C193" s="252" t="s">
        <v>387</v>
      </c>
      <c r="D193" s="261">
        <v>19</v>
      </c>
      <c r="E193" s="180">
        <f t="shared" ref="E193:AB193" si="96">D193*(1+F4)</f>
        <v>19.512999999999998</v>
      </c>
      <c r="F193" s="180">
        <f t="shared" si="96"/>
        <v>19.981311999999999</v>
      </c>
      <c r="G193" s="180">
        <f t="shared" si="96"/>
        <v>20.380938239999999</v>
      </c>
      <c r="H193" s="180">
        <f t="shared" si="96"/>
        <v>20.788557004799998</v>
      </c>
      <c r="I193" s="180">
        <f t="shared" si="96"/>
        <v>21.204328144895999</v>
      </c>
      <c r="J193" s="180">
        <f t="shared" si="96"/>
        <v>21.628414707793919</v>
      </c>
      <c r="K193" s="180">
        <f t="shared" si="96"/>
        <v>22.060983001949797</v>
      </c>
      <c r="L193" s="180">
        <f t="shared" si="96"/>
        <v>22.502202661988793</v>
      </c>
      <c r="M193" s="180">
        <f t="shared" si="96"/>
        <v>22.952246715228569</v>
      </c>
      <c r="N193" s="180">
        <f t="shared" si="96"/>
        <v>23.41129164953314</v>
      </c>
      <c r="O193" s="180">
        <f t="shared" si="96"/>
        <v>23.879517482523802</v>
      </c>
      <c r="P193" s="180">
        <f t="shared" si="96"/>
        <v>24.357107832174279</v>
      </c>
      <c r="Q193" s="180">
        <f t="shared" si="96"/>
        <v>24.844249988817765</v>
      </c>
      <c r="R193" s="180">
        <f t="shared" si="96"/>
        <v>25.341134988594121</v>
      </c>
      <c r="S193" s="180">
        <f t="shared" si="96"/>
        <v>25.847957688366005</v>
      </c>
      <c r="T193" s="180">
        <f t="shared" si="96"/>
        <v>26.364916842133326</v>
      </c>
      <c r="U193" s="180">
        <f t="shared" si="96"/>
        <v>26.892215178975992</v>
      </c>
      <c r="V193" s="180">
        <f t="shared" si="96"/>
        <v>27.43005948255551</v>
      </c>
      <c r="W193" s="180">
        <f t="shared" si="96"/>
        <v>27.978660672206622</v>
      </c>
      <c r="X193" s="180">
        <f t="shared" si="96"/>
        <v>28.538233885650754</v>
      </c>
      <c r="Y193" s="180">
        <f t="shared" si="96"/>
        <v>29.10899856336377</v>
      </c>
      <c r="Z193" s="180">
        <f t="shared" si="96"/>
        <v>29.691178534631046</v>
      </c>
      <c r="AA193" s="180">
        <f t="shared" si="96"/>
        <v>30.285002105323667</v>
      </c>
      <c r="AB193" s="180">
        <f t="shared" si="96"/>
        <v>30.285002105323667</v>
      </c>
    </row>
    <row r="194" spans="2:28" ht="14.25" outlineLevel="1" x14ac:dyDescent="0.25">
      <c r="B194" s="176" t="s">
        <v>281</v>
      </c>
      <c r="C194" s="183" t="s">
        <v>386</v>
      </c>
      <c r="D194" s="249">
        <f t="shared" ref="D194:AB194" si="97">D186*D193</f>
        <v>0</v>
      </c>
      <c r="E194" s="249">
        <f t="shared" si="97"/>
        <v>0</v>
      </c>
      <c r="F194" s="249">
        <f t="shared" si="97"/>
        <v>0</v>
      </c>
      <c r="G194" s="249">
        <f t="shared" si="97"/>
        <v>0</v>
      </c>
      <c r="H194" s="249">
        <f t="shared" si="97"/>
        <v>78556.468345294255</v>
      </c>
      <c r="I194" s="249">
        <f t="shared" si="97"/>
        <v>79019.087440949472</v>
      </c>
      <c r="J194" s="249">
        <f t="shared" si="97"/>
        <v>79486.706025204694</v>
      </c>
      <c r="K194" s="249">
        <f t="shared" si="97"/>
        <v>79959.351369719923</v>
      </c>
      <c r="L194" s="249">
        <f t="shared" si="97"/>
        <v>80440.704760058972</v>
      </c>
      <c r="M194" s="249">
        <f t="shared" si="97"/>
        <v>80927.242954508183</v>
      </c>
      <c r="N194" s="249">
        <f t="shared" si="97"/>
        <v>81418.999569686464</v>
      </c>
      <c r="O194" s="249">
        <f t="shared" si="97"/>
        <v>81916.009604730323</v>
      </c>
      <c r="P194" s="249">
        <f t="shared" si="97"/>
        <v>82422.166555087912</v>
      </c>
      <c r="Q194" s="249">
        <f t="shared" si="97"/>
        <v>82933.757604191764</v>
      </c>
      <c r="R194" s="249">
        <f t="shared" si="97"/>
        <v>83450.8246871093</v>
      </c>
      <c r="S194" s="249">
        <f t="shared" si="97"/>
        <v>83973.411281198933</v>
      </c>
      <c r="T194" s="249">
        <f t="shared" si="97"/>
        <v>85009.211974630191</v>
      </c>
      <c r="U194" s="249">
        <f t="shared" si="97"/>
        <v>86057.037120348832</v>
      </c>
      <c r="V194" s="249">
        <f t="shared" si="97"/>
        <v>87121.302436794256</v>
      </c>
      <c r="W194" s="249">
        <f t="shared" si="97"/>
        <v>88198.06628439005</v>
      </c>
      <c r="X194" s="249">
        <f t="shared" si="97"/>
        <v>89287.489912922538</v>
      </c>
      <c r="Y194" s="249">
        <f t="shared" si="97"/>
        <v>90389.737763050347</v>
      </c>
      <c r="Z194" s="249">
        <f t="shared" si="97"/>
        <v>91504.977564245259</v>
      </c>
      <c r="AA194" s="249">
        <f t="shared" si="97"/>
        <v>92633.380436070423</v>
      </c>
      <c r="AB194" s="249">
        <f t="shared" si="97"/>
        <v>91936.393130298209</v>
      </c>
    </row>
    <row r="195" spans="2:28" outlineLevel="1" x14ac:dyDescent="0.2"/>
    <row r="196" spans="2:28" outlineLevel="1" x14ac:dyDescent="0.2"/>
    <row r="197" spans="2:28" s="258" customFormat="1" ht="14.25" outlineLevel="1" x14ac:dyDescent="0.25">
      <c r="B197" s="258" t="s">
        <v>397</v>
      </c>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row>
    <row r="198" spans="2:28" outlineLevel="2" x14ac:dyDescent="0.2"/>
    <row r="199" spans="2:28" ht="13.9" customHeight="1" outlineLevel="2" x14ac:dyDescent="0.2">
      <c r="B199" s="513" t="s">
        <v>290</v>
      </c>
      <c r="C199" s="511" t="s">
        <v>282</v>
      </c>
      <c r="D199" s="511"/>
    </row>
    <row r="200" spans="2:28" ht="25.5" outlineLevel="2" x14ac:dyDescent="0.2">
      <c r="B200" s="514"/>
      <c r="C200" s="264" t="s">
        <v>271</v>
      </c>
      <c r="D200" s="264" t="s">
        <v>275</v>
      </c>
    </row>
    <row r="201" spans="2:28" outlineLevel="2" x14ac:dyDescent="0.2">
      <c r="B201" s="178" t="s">
        <v>276</v>
      </c>
      <c r="C201" s="272">
        <v>264</v>
      </c>
      <c r="D201" s="271">
        <v>203</v>
      </c>
    </row>
    <row r="202" spans="2:28" outlineLevel="2" x14ac:dyDescent="0.2">
      <c r="B202" s="266"/>
      <c r="C202" s="270"/>
      <c r="D202" s="263"/>
    </row>
    <row r="203" spans="2:28" outlineLevel="2" x14ac:dyDescent="0.2">
      <c r="B203" s="511" t="s">
        <v>396</v>
      </c>
      <c r="C203" s="511"/>
      <c r="D203" s="263"/>
    </row>
    <row r="204" spans="2:28" outlineLevel="2" x14ac:dyDescent="0.2">
      <c r="B204" s="178" t="s">
        <v>390</v>
      </c>
      <c r="C204" s="185" t="s">
        <v>388</v>
      </c>
      <c r="D204" s="250">
        <f t="shared" ref="D204:AB204" si="98">D163*$C$201*$D$167/1000000</f>
        <v>55216.274453999999</v>
      </c>
      <c r="E204" s="250">
        <f t="shared" si="98"/>
        <v>54950.728580193922</v>
      </c>
      <c r="F204" s="250">
        <f t="shared" si="98"/>
        <v>54686.259966516882</v>
      </c>
      <c r="G204" s="250">
        <f t="shared" si="98"/>
        <v>54422.737710243331</v>
      </c>
      <c r="H204" s="250">
        <f t="shared" si="98"/>
        <v>53668.279962641289</v>
      </c>
      <c r="I204" s="250">
        <f t="shared" si="98"/>
        <v>52925.816176410932</v>
      </c>
      <c r="J204" s="250">
        <f t="shared" si="98"/>
        <v>52195.117832022064</v>
      </c>
      <c r="K204" s="250">
        <f t="shared" si="98"/>
        <v>51475.962178582202</v>
      </c>
      <c r="L204" s="250">
        <f t="shared" si="98"/>
        <v>50770.437494669459</v>
      </c>
      <c r="M204" s="250">
        <f t="shared" si="98"/>
        <v>50075.997853025583</v>
      </c>
      <c r="N204" s="250">
        <f t="shared" si="98"/>
        <v>49392.437284067586</v>
      </c>
      <c r="O204" s="250">
        <f t="shared" si="98"/>
        <v>48719.554889590741</v>
      </c>
      <c r="P204" s="250">
        <f t="shared" si="98"/>
        <v>48059.403712100488</v>
      </c>
      <c r="Q204" s="250">
        <f t="shared" si="98"/>
        <v>47409.51616096314</v>
      </c>
      <c r="R204" s="250">
        <f t="shared" si="98"/>
        <v>46769.706139651142</v>
      </c>
      <c r="S204" s="250">
        <f t="shared" si="98"/>
        <v>46139.792023592847</v>
      </c>
      <c r="T204" s="250">
        <f t="shared" si="98"/>
        <v>45793.058951234809</v>
      </c>
      <c r="U204" s="250">
        <f t="shared" si="98"/>
        <v>45448.534369783512</v>
      </c>
      <c r="V204" s="250">
        <f t="shared" si="98"/>
        <v>45108.426770145707</v>
      </c>
      <c r="W204" s="250">
        <f t="shared" si="98"/>
        <v>44770.527661414628</v>
      </c>
      <c r="X204" s="250">
        <f t="shared" si="98"/>
        <v>44434.837043590283</v>
      </c>
      <c r="Y204" s="250">
        <f t="shared" si="98"/>
        <v>44101.354916672688</v>
      </c>
      <c r="Z204" s="250">
        <f t="shared" si="98"/>
        <v>43770.081280661827</v>
      </c>
      <c r="AA204" s="250">
        <f t="shared" si="98"/>
        <v>43441.016135557715</v>
      </c>
      <c r="AB204" s="250">
        <f t="shared" si="98"/>
        <v>43114.159481360322</v>
      </c>
    </row>
    <row r="205" spans="2:28" outlineLevel="2" x14ac:dyDescent="0.2">
      <c r="B205" s="178" t="s">
        <v>389</v>
      </c>
      <c r="C205" s="185" t="s">
        <v>388</v>
      </c>
      <c r="D205" s="250">
        <f>D164*$C$201*$D$167/1000000</f>
        <v>55216.274453999999</v>
      </c>
      <c r="E205" s="250">
        <f>E164*$C$201*$D$167/1000000</f>
        <v>54950.728580193922</v>
      </c>
      <c r="F205" s="250">
        <f>F164*$C$201*$D$167/1000000</f>
        <v>54686.259966516882</v>
      </c>
      <c r="G205" s="250">
        <f>G164*$C$201*$D$167/1000000</f>
        <v>54422.737710243331</v>
      </c>
      <c r="H205" s="250">
        <f t="shared" ref="H205:AB205" si="99">H164*$D$201*$D$167/1000000</f>
        <v>35865.245915214487</v>
      </c>
      <c r="I205" s="250">
        <f t="shared" si="99"/>
        <v>35369.074875359489</v>
      </c>
      <c r="J205" s="250">
        <f t="shared" si="99"/>
        <v>34880.766402839225</v>
      </c>
      <c r="K205" s="250">
        <f t="shared" si="99"/>
        <v>34400.171638485095</v>
      </c>
      <c r="L205" s="250">
        <f t="shared" si="99"/>
        <v>33928.686129625887</v>
      </c>
      <c r="M205" s="250">
        <f t="shared" si="99"/>
        <v>33464.608493111948</v>
      </c>
      <c r="N205" s="250">
        <f t="shared" si="99"/>
        <v>33007.801084328057</v>
      </c>
      <c r="O205" s="250">
        <f t="shared" si="99"/>
        <v>32558.129647741502</v>
      </c>
      <c r="P205" s="250">
        <f t="shared" si="99"/>
        <v>32116.966183244636</v>
      </c>
      <c r="Q205" s="250">
        <f t="shared" si="99"/>
        <v>31682.661658206714</v>
      </c>
      <c r="R205" s="250">
        <f t="shared" si="99"/>
        <v>31255.091708706797</v>
      </c>
      <c r="S205" s="250">
        <f t="shared" si="99"/>
        <v>30834.134959326686</v>
      </c>
      <c r="T205" s="250">
        <f t="shared" si="99"/>
        <v>30602.421423589829</v>
      </c>
      <c r="U205" s="250">
        <f t="shared" si="99"/>
        <v>30372.183770246207</v>
      </c>
      <c r="V205" s="250">
        <f t="shared" si="99"/>
        <v>30144.897881689045</v>
      </c>
      <c r="W205" s="250">
        <f t="shared" si="99"/>
        <v>29919.087875525103</v>
      </c>
      <c r="X205" s="250">
        <f t="shared" si="99"/>
        <v>29694.753751754397</v>
      </c>
      <c r="Y205" s="250">
        <f t="shared" si="99"/>
        <v>29471.895510376926</v>
      </c>
      <c r="Z205" s="250">
        <f t="shared" si="99"/>
        <v>29250.513151392664</v>
      </c>
      <c r="AA205" s="250">
        <f t="shared" si="99"/>
        <v>29030.606674801635</v>
      </c>
      <c r="AB205" s="250">
        <f t="shared" si="99"/>
        <v>28812.176080603844</v>
      </c>
    </row>
    <row r="206" spans="2:28" s="182" customFormat="1" outlineLevel="2" x14ac:dyDescent="0.2">
      <c r="B206" s="269" t="s">
        <v>272</v>
      </c>
      <c r="C206" s="268" t="s">
        <v>388</v>
      </c>
      <c r="D206" s="249">
        <f t="shared" ref="D206:AB206" si="100">D204-D205</f>
        <v>0</v>
      </c>
      <c r="E206" s="249">
        <f t="shared" si="100"/>
        <v>0</v>
      </c>
      <c r="F206" s="249">
        <f t="shared" si="100"/>
        <v>0</v>
      </c>
      <c r="G206" s="249">
        <f t="shared" si="100"/>
        <v>0</v>
      </c>
      <c r="H206" s="249">
        <f t="shared" si="100"/>
        <v>17803.034047426801</v>
      </c>
      <c r="I206" s="249">
        <f t="shared" si="100"/>
        <v>17556.741301051443</v>
      </c>
      <c r="J206" s="249">
        <f t="shared" si="100"/>
        <v>17314.35142918284</v>
      </c>
      <c r="K206" s="249">
        <f t="shared" si="100"/>
        <v>17075.790540097107</v>
      </c>
      <c r="L206" s="249">
        <f t="shared" si="100"/>
        <v>16841.751365043572</v>
      </c>
      <c r="M206" s="249">
        <f t="shared" si="100"/>
        <v>16611.389359913635</v>
      </c>
      <c r="N206" s="249">
        <f t="shared" si="100"/>
        <v>16384.636199739529</v>
      </c>
      <c r="O206" s="249">
        <f t="shared" si="100"/>
        <v>16161.42524184924</v>
      </c>
      <c r="P206" s="249">
        <f t="shared" si="100"/>
        <v>15942.437528855851</v>
      </c>
      <c r="Q206" s="249">
        <f t="shared" si="100"/>
        <v>15726.854502756425</v>
      </c>
      <c r="R206" s="249">
        <f t="shared" si="100"/>
        <v>15514.614430944344</v>
      </c>
      <c r="S206" s="249">
        <f t="shared" si="100"/>
        <v>15305.657064266161</v>
      </c>
      <c r="T206" s="249">
        <f t="shared" si="100"/>
        <v>15190.63752764498</v>
      </c>
      <c r="U206" s="249">
        <f t="shared" si="100"/>
        <v>15076.350599537305</v>
      </c>
      <c r="V206" s="249">
        <f t="shared" si="100"/>
        <v>14963.528888456662</v>
      </c>
      <c r="W206" s="249">
        <f t="shared" si="100"/>
        <v>14851.439785889525</v>
      </c>
      <c r="X206" s="249">
        <f t="shared" si="100"/>
        <v>14740.083291835886</v>
      </c>
      <c r="Y206" s="249">
        <f t="shared" si="100"/>
        <v>14629.459406295762</v>
      </c>
      <c r="Z206" s="249">
        <f t="shared" si="100"/>
        <v>14519.568129269162</v>
      </c>
      <c r="AA206" s="249">
        <f t="shared" si="100"/>
        <v>14410.40946075608</v>
      </c>
      <c r="AB206" s="249">
        <f t="shared" si="100"/>
        <v>14301.983400756479</v>
      </c>
    </row>
    <row r="207" spans="2:28" s="182" customFormat="1" outlineLevel="2" x14ac:dyDescent="0.2">
      <c r="B207" s="492"/>
      <c r="C207" s="493"/>
      <c r="D207" s="494"/>
      <c r="E207" s="494"/>
      <c r="F207" s="494"/>
      <c r="G207" s="494"/>
      <c r="H207" s="494"/>
      <c r="I207" s="494"/>
      <c r="J207" s="494"/>
      <c r="K207" s="494"/>
      <c r="L207" s="494"/>
      <c r="M207" s="494"/>
      <c r="N207" s="494"/>
      <c r="O207" s="494"/>
      <c r="P207" s="494"/>
      <c r="Q207" s="494"/>
      <c r="R207" s="494"/>
      <c r="S207" s="494"/>
      <c r="T207" s="494"/>
      <c r="U207" s="494"/>
      <c r="V207" s="494"/>
      <c r="W207" s="494"/>
      <c r="X207" s="494"/>
      <c r="Y207" s="494"/>
      <c r="Z207" s="494"/>
      <c r="AA207" s="494"/>
      <c r="AB207" s="494"/>
    </row>
    <row r="208" spans="2:28" s="182" customFormat="1" ht="14.25" outlineLevel="2" x14ac:dyDescent="0.2">
      <c r="B208" s="178" t="s">
        <v>522</v>
      </c>
      <c r="C208" s="268" t="s">
        <v>516</v>
      </c>
      <c r="D208" s="250">
        <f>D204*D213</f>
        <v>557684.37198539998</v>
      </c>
      <c r="E208" s="250">
        <f t="shared" ref="E208:AB208" si="101">E204*E213</f>
        <v>569987.42234377738</v>
      </c>
      <c r="F208" s="250">
        <f t="shared" si="101"/>
        <v>580858.0288048021</v>
      </c>
      <c r="G208" s="250">
        <f t="shared" si="101"/>
        <v>589620.16878180532</v>
      </c>
      <c r="H208" s="250">
        <f t="shared" si="101"/>
        <v>593075.24122445448</v>
      </c>
      <c r="I208" s="250">
        <f t="shared" si="101"/>
        <v>596567.86172445945</v>
      </c>
      <c r="J208" s="250">
        <f t="shared" si="101"/>
        <v>600098.22670267068</v>
      </c>
      <c r="K208" s="250">
        <f t="shared" si="101"/>
        <v>603666.54205106304</v>
      </c>
      <c r="L208" s="250">
        <f t="shared" si="101"/>
        <v>607300.60025279771</v>
      </c>
      <c r="M208" s="250">
        <f t="shared" si="101"/>
        <v>610973.8020032834</v>
      </c>
      <c r="N208" s="250">
        <f t="shared" si="101"/>
        <v>614686.40109682456</v>
      </c>
      <c r="O208" s="250">
        <f t="shared" si="101"/>
        <v>618438.66176527785</v>
      </c>
      <c r="P208" s="250">
        <f t="shared" si="101"/>
        <v>622259.97860593942</v>
      </c>
      <c r="Q208" s="250">
        <f t="shared" si="101"/>
        <v>626122.32108704362</v>
      </c>
      <c r="R208" s="250">
        <f t="shared" si="101"/>
        <v>630026.00580441928</v>
      </c>
      <c r="S208" s="250">
        <f t="shared" si="101"/>
        <v>633971.36099768081</v>
      </c>
      <c r="T208" s="250">
        <f t="shared" si="101"/>
        <v>641791.31216219848</v>
      </c>
      <c r="U208" s="250">
        <f t="shared" si="101"/>
        <v>649702.04394721962</v>
      </c>
      <c r="V208" s="250">
        <f t="shared" si="101"/>
        <v>657736.89356015378</v>
      </c>
      <c r="W208" s="250">
        <f t="shared" si="101"/>
        <v>665866.10293152835</v>
      </c>
      <c r="X208" s="250">
        <f t="shared" si="101"/>
        <v>674090.88944366586</v>
      </c>
      <c r="Y208" s="250">
        <f t="shared" si="101"/>
        <v>682412.49456891534</v>
      </c>
      <c r="Z208" s="250">
        <f t="shared" si="101"/>
        <v>690832.18460907217</v>
      </c>
      <c r="AA208" s="250">
        <f t="shared" si="101"/>
        <v>699351.2514599961</v>
      </c>
      <c r="AB208" s="250">
        <f t="shared" si="101"/>
        <v>694089.22882572655</v>
      </c>
    </row>
    <row r="209" spans="2:28" s="182" customFormat="1" ht="14.25" outlineLevel="2" x14ac:dyDescent="0.2">
      <c r="B209" s="178" t="s">
        <v>523</v>
      </c>
      <c r="C209" s="268" t="s">
        <v>516</v>
      </c>
      <c r="D209" s="250">
        <f>D205*D213</f>
        <v>557684.37198539998</v>
      </c>
      <c r="E209" s="250">
        <f t="shared" ref="E209:AB209" si="102">E205*E213</f>
        <v>569987.42234377738</v>
      </c>
      <c r="F209" s="250">
        <f>F205*F213</f>
        <v>580858.0288048021</v>
      </c>
      <c r="G209" s="250">
        <f t="shared" si="102"/>
        <v>589620.16878180532</v>
      </c>
      <c r="H209" s="250">
        <f t="shared" si="102"/>
        <v>396338.19804821198</v>
      </c>
      <c r="I209" s="250">
        <f t="shared" si="102"/>
        <v>398672.23396679183</v>
      </c>
      <c r="J209" s="250">
        <f t="shared" si="102"/>
        <v>401031.49363008153</v>
      </c>
      <c r="K209" s="250">
        <f t="shared" si="102"/>
        <v>403416.11463083315</v>
      </c>
      <c r="L209" s="250">
        <f t="shared" si="102"/>
        <v>405844.67003015178</v>
      </c>
      <c r="M209" s="250">
        <f t="shared" si="102"/>
        <v>408299.38414003327</v>
      </c>
      <c r="N209" s="250">
        <f t="shared" si="102"/>
        <v>410780.42656522646</v>
      </c>
      <c r="O209" s="250">
        <f t="shared" si="102"/>
        <v>413287.97388564999</v>
      </c>
      <c r="P209" s="250">
        <f t="shared" si="102"/>
        <v>415841.6698175054</v>
      </c>
      <c r="Q209" s="250">
        <f t="shared" si="102"/>
        <v>418422.78221741866</v>
      </c>
      <c r="R209" s="250">
        <f t="shared" si="102"/>
        <v>421031.5226589159</v>
      </c>
      <c r="S209" s="250">
        <f t="shared" si="102"/>
        <v>423668.11049679143</v>
      </c>
      <c r="T209" s="250">
        <f t="shared" si="102"/>
        <v>428893.99945309147</v>
      </c>
      <c r="U209" s="250">
        <f t="shared" si="102"/>
        <v>434180.55495732208</v>
      </c>
      <c r="V209" s="250">
        <f t="shared" si="102"/>
        <v>439550.05547905003</v>
      </c>
      <c r="W209" s="250">
        <f t="shared" si="102"/>
        <v>444982.61440218985</v>
      </c>
      <c r="X209" s="250">
        <f t="shared" si="102"/>
        <v>450479.04527463997</v>
      </c>
      <c r="Y209" s="250">
        <f t="shared" si="102"/>
        <v>456040.17774309515</v>
      </c>
      <c r="Z209" s="250">
        <f t="shared" si="102"/>
        <v>461666.85804718354</v>
      </c>
      <c r="AA209" s="250">
        <f t="shared" si="102"/>
        <v>467359.94953044358</v>
      </c>
      <c r="AB209" s="250">
        <f t="shared" si="102"/>
        <v>463843.46389086533</v>
      </c>
    </row>
    <row r="210" spans="2:28" s="182" customFormat="1" ht="14.25" outlineLevel="2" x14ac:dyDescent="0.2">
      <c r="B210" s="178" t="s">
        <v>522</v>
      </c>
      <c r="C210" s="268" t="s">
        <v>517</v>
      </c>
      <c r="D210" s="250">
        <f>NPV(0.05,D208:AB208)</f>
        <v>8673122.9398236144</v>
      </c>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row>
    <row r="211" spans="2:28" s="182" customFormat="1" ht="14.25" outlineLevel="2" x14ac:dyDescent="0.2">
      <c r="B211" s="178" t="s">
        <v>523</v>
      </c>
      <c r="C211" s="268" t="s">
        <v>517</v>
      </c>
      <c r="D211" s="250">
        <f>NPV(0.05,D209:AB209)</f>
        <v>6471091.8491441347</v>
      </c>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row>
    <row r="212" spans="2:28" outlineLevel="2" x14ac:dyDescent="0.2">
      <c r="G212" s="262">
        <f t="shared" ref="G212:AB212" si="103">G214/G213</f>
        <v>0</v>
      </c>
      <c r="H212" s="262">
        <f t="shared" si="103"/>
        <v>17803.034047426801</v>
      </c>
      <c r="I212" s="262">
        <f t="shared" si="103"/>
        <v>17556.741301051443</v>
      </c>
      <c r="J212" s="262">
        <f t="shared" si="103"/>
        <v>17314.35142918284</v>
      </c>
      <c r="K212" s="262">
        <f t="shared" si="103"/>
        <v>17075.790540097107</v>
      </c>
      <c r="L212" s="262">
        <f t="shared" si="103"/>
        <v>16841.751365043572</v>
      </c>
      <c r="M212" s="262">
        <f t="shared" si="103"/>
        <v>16611.389359913635</v>
      </c>
      <c r="N212" s="262">
        <f t="shared" si="103"/>
        <v>16384.636199739529</v>
      </c>
      <c r="O212" s="262">
        <f t="shared" si="103"/>
        <v>16161.425241849238</v>
      </c>
      <c r="P212" s="262">
        <f t="shared" si="103"/>
        <v>15942.437528855851</v>
      </c>
      <c r="Q212" s="262">
        <f t="shared" si="103"/>
        <v>15726.854502756425</v>
      </c>
      <c r="R212" s="262">
        <f t="shared" si="103"/>
        <v>15514.614430944344</v>
      </c>
      <c r="S212" s="262">
        <f t="shared" si="103"/>
        <v>15305.657064266161</v>
      </c>
      <c r="T212" s="262">
        <f t="shared" si="103"/>
        <v>15190.637527644982</v>
      </c>
      <c r="U212" s="262">
        <f t="shared" si="103"/>
        <v>15076.350599537305</v>
      </c>
      <c r="V212" s="262">
        <f t="shared" si="103"/>
        <v>14963.528888456663</v>
      </c>
      <c r="W212" s="262">
        <f t="shared" si="103"/>
        <v>14851.439785889525</v>
      </c>
      <c r="X212" s="262">
        <f t="shared" si="103"/>
        <v>14740.083291835886</v>
      </c>
      <c r="Y212" s="262">
        <f t="shared" si="103"/>
        <v>14629.459406295762</v>
      </c>
      <c r="Z212" s="262">
        <f t="shared" si="103"/>
        <v>14519.568129269162</v>
      </c>
      <c r="AA212" s="262">
        <f t="shared" si="103"/>
        <v>14410.40946075608</v>
      </c>
      <c r="AB212" s="262">
        <f t="shared" si="103"/>
        <v>14301.983400756479</v>
      </c>
    </row>
    <row r="213" spans="2:28" ht="14.25" outlineLevel="2" x14ac:dyDescent="0.25">
      <c r="B213" s="169" t="s">
        <v>395</v>
      </c>
      <c r="C213" s="252" t="s">
        <v>387</v>
      </c>
      <c r="D213" s="261">
        <v>10.1</v>
      </c>
      <c r="E213" s="180">
        <f t="shared" ref="E213:AB213" si="104">D213*(1+F$4)</f>
        <v>10.372699999999998</v>
      </c>
      <c r="F213" s="180">
        <f t="shared" si="104"/>
        <v>10.621644799999999</v>
      </c>
      <c r="G213" s="180">
        <f t="shared" si="104"/>
        <v>10.834077696</v>
      </c>
      <c r="H213" s="180">
        <f t="shared" si="104"/>
        <v>11.05075924992</v>
      </c>
      <c r="I213" s="180">
        <f t="shared" si="104"/>
        <v>11.271774434918401</v>
      </c>
      <c r="J213" s="180">
        <f t="shared" si="104"/>
        <v>11.497209923616769</v>
      </c>
      <c r="K213" s="180">
        <f t="shared" si="104"/>
        <v>11.727154122089104</v>
      </c>
      <c r="L213" s="180">
        <f t="shared" si="104"/>
        <v>11.961697204530886</v>
      </c>
      <c r="M213" s="180">
        <f t="shared" si="104"/>
        <v>12.200931148621503</v>
      </c>
      <c r="N213" s="180">
        <f t="shared" si="104"/>
        <v>12.444949771593933</v>
      </c>
      <c r="O213" s="180">
        <f t="shared" si="104"/>
        <v>12.693848767025813</v>
      </c>
      <c r="P213" s="180">
        <f t="shared" si="104"/>
        <v>12.947725742366329</v>
      </c>
      <c r="Q213" s="180">
        <f t="shared" si="104"/>
        <v>13.206680257213655</v>
      </c>
      <c r="R213" s="180">
        <f t="shared" si="104"/>
        <v>13.470813862357929</v>
      </c>
      <c r="S213" s="180">
        <f t="shared" si="104"/>
        <v>13.740230139605087</v>
      </c>
      <c r="T213" s="180">
        <f t="shared" si="104"/>
        <v>14.015034742397189</v>
      </c>
      <c r="U213" s="180">
        <f t="shared" si="104"/>
        <v>14.295335437245132</v>
      </c>
      <c r="V213" s="180">
        <f t="shared" si="104"/>
        <v>14.581242145990036</v>
      </c>
      <c r="W213" s="180">
        <f t="shared" si="104"/>
        <v>14.872866988909836</v>
      </c>
      <c r="X213" s="180">
        <f t="shared" si="104"/>
        <v>15.170324328688032</v>
      </c>
      <c r="Y213" s="180">
        <f t="shared" si="104"/>
        <v>15.473730815261794</v>
      </c>
      <c r="Z213" s="180">
        <f t="shared" si="104"/>
        <v>15.78320543156703</v>
      </c>
      <c r="AA213" s="180">
        <f t="shared" si="104"/>
        <v>16.098869540198372</v>
      </c>
      <c r="AB213" s="180">
        <f t="shared" si="104"/>
        <v>16.098869540198372</v>
      </c>
    </row>
    <row r="214" spans="2:28" ht="14.25" outlineLevel="1" x14ac:dyDescent="0.25">
      <c r="B214" s="176" t="s">
        <v>283</v>
      </c>
      <c r="C214" s="183" t="s">
        <v>386</v>
      </c>
      <c r="D214" s="176">
        <f t="shared" ref="D214:AB214" si="105">D206*D213</f>
        <v>0</v>
      </c>
      <c r="E214" s="176">
        <f t="shared" si="105"/>
        <v>0</v>
      </c>
      <c r="F214" s="176">
        <f t="shared" si="105"/>
        <v>0</v>
      </c>
      <c r="G214" s="176">
        <f t="shared" si="105"/>
        <v>0</v>
      </c>
      <c r="H214" s="249">
        <f t="shared" si="105"/>
        <v>196737.04317624244</v>
      </c>
      <c r="I214" s="249">
        <f t="shared" si="105"/>
        <v>197895.62775766768</v>
      </c>
      <c r="J214" s="249">
        <f t="shared" si="105"/>
        <v>199066.73307258912</v>
      </c>
      <c r="K214" s="249">
        <f t="shared" si="105"/>
        <v>200250.42742022991</v>
      </c>
      <c r="L214" s="249">
        <f t="shared" si="105"/>
        <v>201455.93022264593</v>
      </c>
      <c r="M214" s="249">
        <f t="shared" si="105"/>
        <v>202674.4178632501</v>
      </c>
      <c r="N214" s="249">
        <f t="shared" si="105"/>
        <v>203905.97453159813</v>
      </c>
      <c r="O214" s="249">
        <f t="shared" si="105"/>
        <v>205150.6878796278</v>
      </c>
      <c r="P214" s="249">
        <f t="shared" si="105"/>
        <v>206418.30878843393</v>
      </c>
      <c r="Q214" s="249">
        <f t="shared" si="105"/>
        <v>207699.53886962496</v>
      </c>
      <c r="R214" s="249">
        <f t="shared" si="105"/>
        <v>208994.48314550344</v>
      </c>
      <c r="S214" s="249">
        <f t="shared" si="105"/>
        <v>210303.25050088941</v>
      </c>
      <c r="T214" s="249">
        <f t="shared" si="105"/>
        <v>212897.31270910695</v>
      </c>
      <c r="U214" s="249">
        <f t="shared" si="105"/>
        <v>215521.48898989754</v>
      </c>
      <c r="V214" s="249">
        <f t="shared" si="105"/>
        <v>218186.83808110372</v>
      </c>
      <c r="W214" s="249">
        <f t="shared" si="105"/>
        <v>220883.48852933847</v>
      </c>
      <c r="X214" s="249">
        <f t="shared" si="105"/>
        <v>223611.84416902592</v>
      </c>
      <c r="Y214" s="249">
        <f t="shared" si="105"/>
        <v>226372.31682582025</v>
      </c>
      <c r="Z214" s="249">
        <f t="shared" si="105"/>
        <v>229165.32656188859</v>
      </c>
      <c r="AA214" s="249">
        <f t="shared" si="105"/>
        <v>231991.30192955252</v>
      </c>
      <c r="AB214" s="249">
        <f t="shared" si="105"/>
        <v>230245.76493486119</v>
      </c>
    </row>
    <row r="215" spans="2:28" outlineLevel="1" x14ac:dyDescent="0.2"/>
    <row r="216" spans="2:28" s="258" customFormat="1" ht="14.25" outlineLevel="1" x14ac:dyDescent="0.25">
      <c r="B216" s="258" t="s">
        <v>394</v>
      </c>
      <c r="C216" s="259"/>
      <c r="D216" s="259"/>
      <c r="E216" s="259"/>
      <c r="F216" s="259"/>
      <c r="G216" s="259"/>
      <c r="H216" s="259"/>
      <c r="I216" s="259"/>
      <c r="J216" s="259"/>
      <c r="K216" s="259"/>
      <c r="L216" s="259"/>
      <c r="M216" s="259"/>
      <c r="N216" s="259"/>
      <c r="O216" s="259"/>
      <c r="P216" s="259"/>
      <c r="Q216" s="259"/>
      <c r="R216" s="259"/>
      <c r="S216" s="259"/>
      <c r="T216" s="259"/>
      <c r="U216" s="259"/>
      <c r="V216" s="259"/>
      <c r="W216" s="259"/>
      <c r="X216" s="259"/>
    </row>
    <row r="217" spans="2:28" outlineLevel="2" x14ac:dyDescent="0.2"/>
    <row r="218" spans="2:28" ht="13.9" customHeight="1" outlineLevel="2" x14ac:dyDescent="0.2">
      <c r="B218" s="513" t="s">
        <v>290</v>
      </c>
      <c r="C218" s="511" t="s">
        <v>284</v>
      </c>
      <c r="D218" s="511"/>
      <c r="E218" s="511"/>
    </row>
    <row r="219" spans="2:28" ht="57" customHeight="1" outlineLevel="2" x14ac:dyDescent="0.2">
      <c r="B219" s="514"/>
      <c r="C219" s="264" t="s">
        <v>393</v>
      </c>
      <c r="D219" s="264" t="s">
        <v>392</v>
      </c>
      <c r="E219" s="264" t="s">
        <v>275</v>
      </c>
    </row>
    <row r="220" spans="2:28" outlineLevel="2" x14ac:dyDescent="0.2">
      <c r="B220" s="178" t="s">
        <v>276</v>
      </c>
      <c r="C220" s="267">
        <v>1016</v>
      </c>
      <c r="D220" s="267">
        <v>81</v>
      </c>
      <c r="E220" s="267">
        <f>D220*80%</f>
        <v>64.8</v>
      </c>
    </row>
    <row r="221" spans="2:28" outlineLevel="2" x14ac:dyDescent="0.2">
      <c r="B221" s="266"/>
      <c r="C221" s="265"/>
      <c r="D221" s="265"/>
    </row>
    <row r="222" spans="2:28" outlineLevel="2" x14ac:dyDescent="0.2">
      <c r="B222" s="511" t="s">
        <v>391</v>
      </c>
      <c r="C222" s="511"/>
      <c r="D222" s="263"/>
    </row>
    <row r="223" spans="2:28" outlineLevel="2" x14ac:dyDescent="0.2">
      <c r="B223" s="178" t="s">
        <v>390</v>
      </c>
      <c r="C223" s="185" t="s">
        <v>388</v>
      </c>
      <c r="D223" s="250">
        <f>D163*$C$220*$D$167/1000000</f>
        <v>212498.99562599999</v>
      </c>
      <c r="E223" s="250">
        <f>E163*$C$220*$D$167/1000000</f>
        <v>211477.04635407965</v>
      </c>
      <c r="F223" s="250">
        <f>F163*$C$220*$D$167/1000000</f>
        <v>210459.24290144377</v>
      </c>
      <c r="G223" s="250">
        <f>G163*$C$220*$D$167/1000000</f>
        <v>209445.08149093646</v>
      </c>
      <c r="H223" s="250">
        <f>H163*$C$220*$D$167/1000000</f>
        <v>206541.56228046797</v>
      </c>
      <c r="I223" s="250">
        <f t="shared" ref="I223:AB223" si="106">I163*$D$220*$D$167/1000000</f>
        <v>16238.602690489717</v>
      </c>
      <c r="J223" s="250">
        <f t="shared" si="106"/>
        <v>16014.411153006768</v>
      </c>
      <c r="K223" s="250">
        <f t="shared" si="106"/>
        <v>15793.761122974083</v>
      </c>
      <c r="L223" s="250">
        <f t="shared" si="106"/>
        <v>15577.29332222813</v>
      </c>
      <c r="M223" s="250">
        <f t="shared" si="106"/>
        <v>15364.226613996487</v>
      </c>
      <c r="N223" s="250">
        <f t="shared" si="106"/>
        <v>15154.497803066193</v>
      </c>
      <c r="O223" s="250">
        <f t="shared" si="106"/>
        <v>14948.04525021534</v>
      </c>
      <c r="P223" s="250">
        <f t="shared" si="106"/>
        <v>14745.498866212649</v>
      </c>
      <c r="Q223" s="250">
        <f t="shared" si="106"/>
        <v>14546.10154938642</v>
      </c>
      <c r="R223" s="250">
        <f t="shared" si="106"/>
        <v>14349.796201938418</v>
      </c>
      <c r="S223" s="250">
        <f t="shared" si="106"/>
        <v>14156.527098147806</v>
      </c>
      <c r="T223" s="250">
        <f t="shared" si="106"/>
        <v>14050.14308731068</v>
      </c>
      <c r="U223" s="250">
        <f t="shared" si="106"/>
        <v>13944.436681638126</v>
      </c>
      <c r="V223" s="250">
        <f t="shared" si="106"/>
        <v>13840.085486294707</v>
      </c>
      <c r="W223" s="250">
        <f t="shared" si="106"/>
        <v>13736.411896115853</v>
      </c>
      <c r="X223" s="250">
        <f t="shared" si="106"/>
        <v>13633.415911101567</v>
      </c>
      <c r="Y223" s="250">
        <f t="shared" si="106"/>
        <v>13531.097531251848</v>
      </c>
      <c r="Z223" s="250">
        <f t="shared" si="106"/>
        <v>13429.456756566698</v>
      </c>
      <c r="AA223" s="250">
        <f t="shared" si="106"/>
        <v>13328.493587046116</v>
      </c>
      <c r="AB223" s="250">
        <f t="shared" si="106"/>
        <v>13228.208022690098</v>
      </c>
    </row>
    <row r="224" spans="2:28" outlineLevel="2" x14ac:dyDescent="0.2">
      <c r="B224" s="178" t="s">
        <v>389</v>
      </c>
      <c r="C224" s="185" t="s">
        <v>388</v>
      </c>
      <c r="D224" s="250">
        <f>D164*$C$220*$D$167/1000000</f>
        <v>212498.99562599999</v>
      </c>
      <c r="E224" s="250">
        <f>E164*$C$220*$D$167/1000000</f>
        <v>211477.04635407965</v>
      </c>
      <c r="F224" s="250">
        <f>F164*$C$220*$D$167/1000000</f>
        <v>210459.24290144377</v>
      </c>
      <c r="G224" s="250">
        <f>G164*$C$220*$D$167/1000000</f>
        <v>209445.08149093646</v>
      </c>
      <c r="H224" s="250">
        <f t="shared" ref="H224:AB224" si="107">H164*$E$220*$D$167/1000000</f>
        <v>11448.610518748268</v>
      </c>
      <c r="I224" s="250">
        <f t="shared" si="107"/>
        <v>11290.226856764999</v>
      </c>
      <c r="J224" s="250">
        <f t="shared" si="107"/>
        <v>11134.353019231436</v>
      </c>
      <c r="K224" s="250">
        <f t="shared" si="107"/>
        <v>10980.941488541053</v>
      </c>
      <c r="L224" s="250">
        <f t="shared" si="107"/>
        <v>10830.437739900282</v>
      </c>
      <c r="M224" s="250">
        <f t="shared" si="107"/>
        <v>10682.298671692877</v>
      </c>
      <c r="N224" s="250">
        <f t="shared" si="107"/>
        <v>10536.480346130335</v>
      </c>
      <c r="O224" s="250">
        <f t="shared" si="107"/>
        <v>10392.939907259355</v>
      </c>
      <c r="P224" s="250">
        <f t="shared" si="107"/>
        <v>10252.115313666267</v>
      </c>
      <c r="Q224" s="250">
        <f t="shared" si="107"/>
        <v>10113.480174639384</v>
      </c>
      <c r="R224" s="250">
        <f t="shared" si="107"/>
        <v>9976.9947917448299</v>
      </c>
      <c r="S224" s="250">
        <f t="shared" si="107"/>
        <v>9842.620420514133</v>
      </c>
      <c r="T224" s="250">
        <f t="shared" si="107"/>
        <v>9768.6547204365579</v>
      </c>
      <c r="U224" s="250">
        <f t="shared" si="107"/>
        <v>9695.1601394677546</v>
      </c>
      <c r="V224" s="250">
        <f t="shared" si="107"/>
        <v>9622.6077967165038</v>
      </c>
      <c r="W224" s="250">
        <f t="shared" si="107"/>
        <v>9550.526573074023</v>
      </c>
      <c r="X224" s="250">
        <f t="shared" si="107"/>
        <v>9478.9164685403193</v>
      </c>
      <c r="Y224" s="250">
        <f t="shared" si="107"/>
        <v>9407.7774831153929</v>
      </c>
      <c r="Z224" s="250">
        <f t="shared" si="107"/>
        <v>9337.1096167992346</v>
      </c>
      <c r="AA224" s="250">
        <f t="shared" si="107"/>
        <v>9266.9128695918498</v>
      </c>
      <c r="AB224" s="250">
        <f t="shared" si="107"/>
        <v>9197.1872414932459</v>
      </c>
    </row>
    <row r="225" spans="2:28" outlineLevel="2" x14ac:dyDescent="0.2">
      <c r="B225" s="178" t="s">
        <v>272</v>
      </c>
      <c r="C225" s="185" t="s">
        <v>388</v>
      </c>
      <c r="D225" s="250">
        <f t="shared" ref="D225:AB225" si="108">D223-D224</f>
        <v>0</v>
      </c>
      <c r="E225" s="250">
        <f t="shared" si="108"/>
        <v>0</v>
      </c>
      <c r="F225" s="250">
        <f t="shared" si="108"/>
        <v>0</v>
      </c>
      <c r="G225" s="250">
        <f t="shared" si="108"/>
        <v>0</v>
      </c>
      <c r="H225" s="250">
        <f t="shared" si="108"/>
        <v>195092.95176171971</v>
      </c>
      <c r="I225" s="250">
        <f t="shared" si="108"/>
        <v>4948.3758337247182</v>
      </c>
      <c r="J225" s="250">
        <f t="shared" si="108"/>
        <v>4880.058133775332</v>
      </c>
      <c r="K225" s="250">
        <f t="shared" si="108"/>
        <v>4812.8196344330299</v>
      </c>
      <c r="L225" s="250">
        <f t="shared" si="108"/>
        <v>4746.8555823278475</v>
      </c>
      <c r="M225" s="250">
        <f t="shared" si="108"/>
        <v>4681.9279423036096</v>
      </c>
      <c r="N225" s="250">
        <f t="shared" si="108"/>
        <v>4618.0174569358587</v>
      </c>
      <c r="O225" s="250">
        <f t="shared" si="108"/>
        <v>4555.1053429559852</v>
      </c>
      <c r="P225" s="250">
        <f t="shared" si="108"/>
        <v>4493.3835525463819</v>
      </c>
      <c r="Q225" s="250">
        <f t="shared" si="108"/>
        <v>4432.6213747470356</v>
      </c>
      <c r="R225" s="250">
        <f t="shared" si="108"/>
        <v>4372.8014101935878</v>
      </c>
      <c r="S225" s="250">
        <f t="shared" si="108"/>
        <v>4313.9066776336731</v>
      </c>
      <c r="T225" s="250">
        <f t="shared" si="108"/>
        <v>4281.4883668741222</v>
      </c>
      <c r="U225" s="250">
        <f t="shared" si="108"/>
        <v>4249.2765421703716</v>
      </c>
      <c r="V225" s="250">
        <f t="shared" si="108"/>
        <v>4217.4776895782034</v>
      </c>
      <c r="W225" s="250">
        <f t="shared" si="108"/>
        <v>4185.8853230418299</v>
      </c>
      <c r="X225" s="250">
        <f t="shared" si="108"/>
        <v>4154.4994425612476</v>
      </c>
      <c r="Y225" s="250">
        <f t="shared" si="108"/>
        <v>4123.3200481364547</v>
      </c>
      <c r="Z225" s="250">
        <f t="shared" si="108"/>
        <v>4092.3471397674639</v>
      </c>
      <c r="AA225" s="250">
        <f t="shared" si="108"/>
        <v>4061.5807174542661</v>
      </c>
      <c r="AB225" s="250">
        <f t="shared" si="108"/>
        <v>4031.0207811968521</v>
      </c>
    </row>
    <row r="226" spans="2:28" outlineLevel="2" x14ac:dyDescent="0.2">
      <c r="B226" s="266"/>
      <c r="C226" s="273"/>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c r="AB226" s="181"/>
    </row>
    <row r="227" spans="2:28" s="182" customFormat="1" ht="14.25" outlineLevel="2" x14ac:dyDescent="0.2">
      <c r="B227" s="178" t="s">
        <v>524</v>
      </c>
      <c r="C227" s="268" t="s">
        <v>516</v>
      </c>
      <c r="D227" s="250">
        <f>D223*D232</f>
        <v>2358738.8514485997</v>
      </c>
      <c r="E227" s="250">
        <f t="shared" ref="E227:AB227" si="109">E223*E232</f>
        <v>2410774.8853226015</v>
      </c>
      <c r="F227" s="250">
        <f t="shared" si="109"/>
        <v>2456752.3648548746</v>
      </c>
      <c r="G227" s="250">
        <f t="shared" si="109"/>
        <v>2493812.0369988331</v>
      </c>
      <c r="H227" s="250">
        <f t="shared" si="109"/>
        <v>2508425.3451968594</v>
      </c>
      <c r="I227" s="250">
        <f t="shared" si="109"/>
        <v>201160.42772144519</v>
      </c>
      <c r="J227" s="250">
        <f t="shared" si="109"/>
        <v>202350.85344598375</v>
      </c>
      <c r="K227" s="250">
        <f t="shared" si="109"/>
        <v>203554.07589188073</v>
      </c>
      <c r="L227" s="250">
        <f t="shared" si="109"/>
        <v>204779.46657939188</v>
      </c>
      <c r="M227" s="250">
        <f t="shared" si="109"/>
        <v>206018.05632356441</v>
      </c>
      <c r="N227" s="250">
        <f t="shared" si="109"/>
        <v>207269.93070287845</v>
      </c>
      <c r="O227" s="250">
        <f t="shared" si="109"/>
        <v>208535.17881531705</v>
      </c>
      <c r="P227" s="250">
        <f t="shared" si="109"/>
        <v>209823.71240796588</v>
      </c>
      <c r="Q227" s="250">
        <f t="shared" si="109"/>
        <v>211126.07969147956</v>
      </c>
      <c r="R227" s="250">
        <f t="shared" si="109"/>
        <v>212442.38742077464</v>
      </c>
      <c r="S227" s="250">
        <f t="shared" si="109"/>
        <v>213772.74627700832</v>
      </c>
      <c r="T227" s="250">
        <f t="shared" si="109"/>
        <v>216409.60424731203</v>
      </c>
      <c r="U227" s="250">
        <f t="shared" si="109"/>
        <v>219077.07309966453</v>
      </c>
      <c r="V227" s="250">
        <f t="shared" si="109"/>
        <v>221786.39401437686</v>
      </c>
      <c r="W227" s="250">
        <f t="shared" si="109"/>
        <v>224527.53268291979</v>
      </c>
      <c r="X227" s="250">
        <f t="shared" si="109"/>
        <v>227300.89960201029</v>
      </c>
      <c r="Y227" s="250">
        <f t="shared" si="109"/>
        <v>230106.91339143112</v>
      </c>
      <c r="Z227" s="250">
        <f t="shared" si="109"/>
        <v>232946.00104336068</v>
      </c>
      <c r="AA227" s="250">
        <f t="shared" si="109"/>
        <v>235818.59818019895</v>
      </c>
      <c r="AB227" s="250">
        <f t="shared" si="109"/>
        <v>234044.26404035804</v>
      </c>
    </row>
    <row r="228" spans="2:28" s="182" customFormat="1" ht="14.25" outlineLevel="2" x14ac:dyDescent="0.2">
      <c r="B228" s="178" t="s">
        <v>525</v>
      </c>
      <c r="C228" s="268" t="s">
        <v>516</v>
      </c>
      <c r="D228" s="250">
        <f>D224*D232</f>
        <v>2358738.8514485997</v>
      </c>
      <c r="E228" s="250">
        <f t="shared" ref="E228" si="110">E224*E232</f>
        <v>2410774.8853226015</v>
      </c>
      <c r="F228" s="250">
        <f>F224*F232</f>
        <v>2456752.3648548746</v>
      </c>
      <c r="G228" s="250">
        <f t="shared" ref="G228:AB228" si="111">G224*G232</f>
        <v>2493812.0369988331</v>
      </c>
      <c r="H228" s="250">
        <f t="shared" si="111"/>
        <v>139042.15924114414</v>
      </c>
      <c r="I228" s="250">
        <f t="shared" si="111"/>
        <v>139860.97861173193</v>
      </c>
      <c r="J228" s="250">
        <f t="shared" si="111"/>
        <v>140688.6468995976</v>
      </c>
      <c r="K228" s="250">
        <f t="shared" si="111"/>
        <v>141525.21237461135</v>
      </c>
      <c r="L228" s="250">
        <f t="shared" si="111"/>
        <v>142377.19078148933</v>
      </c>
      <c r="M228" s="250">
        <f t="shared" si="111"/>
        <v>143238.34610751751</v>
      </c>
      <c r="N228" s="250">
        <f t="shared" si="111"/>
        <v>144108.73785291717</v>
      </c>
      <c r="O228" s="250">
        <f t="shared" si="111"/>
        <v>144988.4279649175</v>
      </c>
      <c r="P228" s="250">
        <f t="shared" si="111"/>
        <v>145884.30779219398</v>
      </c>
      <c r="Q228" s="250">
        <f t="shared" si="111"/>
        <v>146789.80578127343</v>
      </c>
      <c r="R228" s="250">
        <f t="shared" si="111"/>
        <v>147704.99615573577</v>
      </c>
      <c r="S228" s="250">
        <f t="shared" si="111"/>
        <v>148629.9558689617</v>
      </c>
      <c r="T228" s="250">
        <f t="shared" si="111"/>
        <v>150463.28631254929</v>
      </c>
      <c r="U228" s="250">
        <f t="shared" si="111"/>
        <v>152317.89960966821</v>
      </c>
      <c r="V228" s="250">
        <f t="shared" si="111"/>
        <v>154201.61142514326</v>
      </c>
      <c r="W228" s="250">
        <f t="shared" si="111"/>
        <v>156107.44519690151</v>
      </c>
      <c r="X228" s="250">
        <f t="shared" si="111"/>
        <v>158035.68633133839</v>
      </c>
      <c r="Y228" s="250">
        <f t="shared" si="111"/>
        <v>159986.62588257989</v>
      </c>
      <c r="Z228" s="250">
        <f t="shared" si="111"/>
        <v>161960.56072583437</v>
      </c>
      <c r="AA228" s="250">
        <f t="shared" si="111"/>
        <v>163957.79373665192</v>
      </c>
      <c r="AB228" s="250">
        <f t="shared" si="111"/>
        <v>162724.15095713877</v>
      </c>
    </row>
    <row r="229" spans="2:28" s="182" customFormat="1" ht="14.25" outlineLevel="2" x14ac:dyDescent="0.2">
      <c r="B229" s="178" t="s">
        <v>524</v>
      </c>
      <c r="C229" s="268" t="s">
        <v>517</v>
      </c>
      <c r="D229" s="250">
        <f>NPV(0.05,D227:AB227)</f>
        <v>12654046.717608627</v>
      </c>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c r="AB229" s="181"/>
    </row>
    <row r="230" spans="2:28" s="182" customFormat="1" ht="14.25" outlineLevel="2" x14ac:dyDescent="0.2">
      <c r="B230" s="178" t="s">
        <v>525</v>
      </c>
      <c r="C230" s="268" t="s">
        <v>517</v>
      </c>
      <c r="D230" s="250">
        <f>NPV(0.05,D228:AB228)</f>
        <v>10163228.168730689</v>
      </c>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row>
    <row r="231" spans="2:28" outlineLevel="2" x14ac:dyDescent="0.2">
      <c r="B231" s="266"/>
      <c r="C231" s="273"/>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c r="AB231" s="181"/>
    </row>
    <row r="232" spans="2:28" ht="14.25" outlineLevel="2" x14ac:dyDescent="0.25">
      <c r="B232" s="169" t="s">
        <v>526</v>
      </c>
      <c r="C232" s="252" t="s">
        <v>387</v>
      </c>
      <c r="D232" s="261">
        <v>11.1</v>
      </c>
      <c r="E232" s="180">
        <f t="shared" ref="E232:AB232" si="112">D232*(1+F$4)</f>
        <v>11.399699999999999</v>
      </c>
      <c r="F232" s="180">
        <f t="shared" si="112"/>
        <v>11.673292799999999</v>
      </c>
      <c r="G232" s="180">
        <f t="shared" si="112"/>
        <v>11.906758655999999</v>
      </c>
      <c r="H232" s="180">
        <f t="shared" si="112"/>
        <v>12.144893829119999</v>
      </c>
      <c r="I232" s="180">
        <f t="shared" si="112"/>
        <v>12.3877917057024</v>
      </c>
      <c r="J232" s="180">
        <f t="shared" si="112"/>
        <v>12.635547539816448</v>
      </c>
      <c r="K232" s="180">
        <f t="shared" si="112"/>
        <v>12.888258490612778</v>
      </c>
      <c r="L232" s="180">
        <f t="shared" si="112"/>
        <v>13.146023660425033</v>
      </c>
      <c r="M232" s="180">
        <f t="shared" si="112"/>
        <v>13.408944133633534</v>
      </c>
      <c r="N232" s="180">
        <f t="shared" si="112"/>
        <v>13.677123016306206</v>
      </c>
      <c r="O232" s="180">
        <f t="shared" si="112"/>
        <v>13.950665476632331</v>
      </c>
      <c r="P232" s="180">
        <f t="shared" si="112"/>
        <v>14.229678786164978</v>
      </c>
      <c r="Q232" s="180">
        <f t="shared" si="112"/>
        <v>14.514272361888278</v>
      </c>
      <c r="R232" s="180">
        <f t="shared" si="112"/>
        <v>14.804557809126043</v>
      </c>
      <c r="S232" s="180">
        <f t="shared" si="112"/>
        <v>15.100648965308565</v>
      </c>
      <c r="T232" s="180">
        <f t="shared" si="112"/>
        <v>15.402661944614737</v>
      </c>
      <c r="U232" s="180">
        <f t="shared" si="112"/>
        <v>15.710715183507032</v>
      </c>
      <c r="V232" s="180">
        <f t="shared" si="112"/>
        <v>16.024929487177172</v>
      </c>
      <c r="W232" s="180">
        <f t="shared" si="112"/>
        <v>16.345428076920715</v>
      </c>
      <c r="X232" s="180">
        <f t="shared" si="112"/>
        <v>16.672336638459129</v>
      </c>
      <c r="Y232" s="180">
        <f t="shared" si="112"/>
        <v>17.005783371228311</v>
      </c>
      <c r="Z232" s="180">
        <f t="shared" si="112"/>
        <v>17.345899038652878</v>
      </c>
      <c r="AA232" s="180">
        <f t="shared" si="112"/>
        <v>17.692817019425934</v>
      </c>
      <c r="AB232" s="180">
        <f t="shared" si="112"/>
        <v>17.692817019425934</v>
      </c>
    </row>
    <row r="233" spans="2:28" ht="14.25" outlineLevel="1" x14ac:dyDescent="0.25">
      <c r="B233" s="176" t="s">
        <v>285</v>
      </c>
      <c r="C233" s="183" t="s">
        <v>386</v>
      </c>
      <c r="D233" s="176">
        <f t="shared" ref="D233:AB233" si="113">D232*D225</f>
        <v>0</v>
      </c>
      <c r="E233" s="176">
        <f t="shared" si="113"/>
        <v>0</v>
      </c>
      <c r="F233" s="176">
        <f t="shared" si="113"/>
        <v>0</v>
      </c>
      <c r="G233" s="176">
        <f t="shared" si="113"/>
        <v>0</v>
      </c>
      <c r="H233" s="249">
        <f t="shared" si="113"/>
        <v>2369383.1859557154</v>
      </c>
      <c r="I233" s="249">
        <f t="shared" si="113"/>
        <v>61299.449109713263</v>
      </c>
      <c r="J233" s="249">
        <f t="shared" si="113"/>
        <v>61662.206546386144</v>
      </c>
      <c r="K233" s="249">
        <f t="shared" si="113"/>
        <v>62028.863517269383</v>
      </c>
      <c r="L233" s="249">
        <f t="shared" si="113"/>
        <v>62402.275797902534</v>
      </c>
      <c r="M233" s="249">
        <f t="shared" si="113"/>
        <v>62779.710216046908</v>
      </c>
      <c r="N233" s="249">
        <f t="shared" si="113"/>
        <v>63161.192849961284</v>
      </c>
      <c r="O233" s="249">
        <f t="shared" si="113"/>
        <v>63546.750850399534</v>
      </c>
      <c r="P233" s="249">
        <f t="shared" si="113"/>
        <v>63939.404615771877</v>
      </c>
      <c r="Q233" s="249">
        <f t="shared" si="113"/>
        <v>64336.273910206117</v>
      </c>
      <c r="R233" s="249">
        <f t="shared" si="113"/>
        <v>64737.391265038852</v>
      </c>
      <c r="S233" s="249">
        <f t="shared" si="113"/>
        <v>65142.790408046632</v>
      </c>
      <c r="T233" s="249">
        <f t="shared" si="113"/>
        <v>65946.317934762745</v>
      </c>
      <c r="U233" s="249">
        <f t="shared" si="113"/>
        <v>66759.173489996319</v>
      </c>
      <c r="V233" s="249">
        <f t="shared" si="113"/>
        <v>67584.782589233597</v>
      </c>
      <c r="W233" s="249">
        <f t="shared" si="113"/>
        <v>68420.087486018267</v>
      </c>
      <c r="X233" s="249">
        <f t="shared" si="113"/>
        <v>69265.213270671913</v>
      </c>
      <c r="Y233" s="249">
        <f t="shared" si="113"/>
        <v>70120.287508851237</v>
      </c>
      <c r="Z233" s="249">
        <f t="shared" si="113"/>
        <v>70985.4403175263</v>
      </c>
      <c r="AA233" s="249">
        <f t="shared" si="113"/>
        <v>71860.804443547036</v>
      </c>
      <c r="AB233" s="249">
        <f t="shared" si="113"/>
        <v>71320.113083219287</v>
      </c>
    </row>
    <row r="234" spans="2:28" outlineLevel="1" x14ac:dyDescent="0.2"/>
    <row r="235" spans="2:28" s="258" customFormat="1" outlineLevel="1" x14ac:dyDescent="0.2">
      <c r="B235" s="258" t="s">
        <v>385</v>
      </c>
      <c r="C235" s="259"/>
      <c r="D235" s="259"/>
      <c r="E235" s="259"/>
      <c r="F235" s="259"/>
      <c r="G235" s="259"/>
      <c r="H235" s="259"/>
      <c r="I235" s="259"/>
      <c r="J235" s="259"/>
      <c r="K235" s="259"/>
      <c r="L235" s="259"/>
      <c r="M235" s="259"/>
      <c r="N235" s="259"/>
      <c r="O235" s="259"/>
      <c r="P235" s="259"/>
      <c r="Q235" s="259"/>
      <c r="R235" s="259"/>
      <c r="S235" s="259"/>
      <c r="T235" s="259"/>
      <c r="U235" s="259"/>
      <c r="V235" s="259"/>
      <c r="W235" s="259"/>
      <c r="X235" s="259"/>
    </row>
    <row r="236" spans="2:28" ht="14.25" outlineLevel="2" x14ac:dyDescent="0.25">
      <c r="B236" s="169" t="s">
        <v>384</v>
      </c>
      <c r="C236" s="252" t="s">
        <v>382</v>
      </c>
      <c r="D236" s="260">
        <v>820</v>
      </c>
    </row>
    <row r="237" spans="2:28" ht="14.25" outlineLevel="2" x14ac:dyDescent="0.25">
      <c r="B237" s="169" t="s">
        <v>383</v>
      </c>
      <c r="C237" s="252" t="s">
        <v>382</v>
      </c>
      <c r="D237" s="260">
        <v>120</v>
      </c>
    </row>
    <row r="238" spans="2:28" ht="14.25" outlineLevel="2" x14ac:dyDescent="0.25">
      <c r="B238" s="169" t="s">
        <v>381</v>
      </c>
      <c r="C238" s="252" t="s">
        <v>379</v>
      </c>
      <c r="D238" s="257">
        <v>17130</v>
      </c>
    </row>
    <row r="239" spans="2:28" ht="14.25" outlineLevel="2" x14ac:dyDescent="0.25">
      <c r="B239" s="169" t="s">
        <v>380</v>
      </c>
      <c r="C239" s="252" t="s">
        <v>379</v>
      </c>
      <c r="D239" s="257">
        <v>32700</v>
      </c>
    </row>
    <row r="240" spans="2:28" ht="14.25" outlineLevel="2" x14ac:dyDescent="0.25">
      <c r="B240" s="169" t="s">
        <v>378</v>
      </c>
      <c r="C240" s="252" t="s">
        <v>277</v>
      </c>
      <c r="D240" s="499">
        <f t="shared" ref="D240:AB240" si="114">D186/$D$238/1000</f>
        <v>0</v>
      </c>
      <c r="E240" s="499">
        <f t="shared" si="114"/>
        <v>0</v>
      </c>
      <c r="F240" s="499">
        <f t="shared" si="114"/>
        <v>0</v>
      </c>
      <c r="G240" s="499">
        <f t="shared" si="114"/>
        <v>0</v>
      </c>
      <c r="H240" s="254">
        <f t="shared" si="114"/>
        <v>2.2059732560925381E-4</v>
      </c>
      <c r="I240" s="254">
        <f t="shared" si="114"/>
        <v>2.1754551314725288E-4</v>
      </c>
      <c r="J240" s="254">
        <f t="shared" si="114"/>
        <v>2.1454206118807901E-4</v>
      </c>
      <c r="K240" s="254">
        <f t="shared" si="114"/>
        <v>2.1158605413966887E-4</v>
      </c>
      <c r="L240" s="254">
        <f t="shared" si="114"/>
        <v>2.0868607563223762E-4</v>
      </c>
      <c r="M240" s="254">
        <f t="shared" si="114"/>
        <v>2.0583166092302149E-4</v>
      </c>
      <c r="N240" s="254">
        <f t="shared" si="114"/>
        <v>2.0302196339761107E-4</v>
      </c>
      <c r="O240" s="254">
        <f t="shared" si="114"/>
        <v>2.0025615728691638E-4</v>
      </c>
      <c r="P240" s="254">
        <f t="shared" si="114"/>
        <v>1.9754268138730635E-4</v>
      </c>
      <c r="Q240" s="254">
        <f t="shared" si="114"/>
        <v>1.948713929497517E-4</v>
      </c>
      <c r="R240" s="254">
        <f t="shared" si="114"/>
        <v>1.9224152704576386E-4</v>
      </c>
      <c r="S240" s="254">
        <f t="shared" si="114"/>
        <v>1.8965233712831708E-4</v>
      </c>
      <c r="T240" s="254">
        <f t="shared" si="114"/>
        <v>1.8822713049759029E-4</v>
      </c>
      <c r="U240" s="254">
        <f t="shared" si="114"/>
        <v>1.8681100161610376E-4</v>
      </c>
      <c r="V240" s="254">
        <f t="shared" si="114"/>
        <v>1.8541302823309793E-4</v>
      </c>
      <c r="W240" s="254">
        <f t="shared" si="114"/>
        <v>1.8402413259933223E-4</v>
      </c>
      <c r="X240" s="254">
        <f t="shared" si="114"/>
        <v>1.8264431471480677E-4</v>
      </c>
      <c r="Y240" s="254">
        <f t="shared" si="114"/>
        <v>1.8127357457952171E-4</v>
      </c>
      <c r="Z240" s="254">
        <f t="shared" si="114"/>
        <v>1.79911912193477E-4</v>
      </c>
      <c r="AA240" s="254">
        <f t="shared" si="114"/>
        <v>1.7855932755667263E-4</v>
      </c>
      <c r="AB240" s="254">
        <f t="shared" si="114"/>
        <v>1.7721582066910834E-4</v>
      </c>
    </row>
    <row r="241" spans="2:28" ht="14.25" outlineLevel="2" x14ac:dyDescent="0.25">
      <c r="B241" s="169" t="s">
        <v>377</v>
      </c>
      <c r="C241" s="252" t="s">
        <v>277</v>
      </c>
      <c r="D241" s="499">
        <f t="shared" ref="D241:AB241" si="115">D206/$D$239/1000</f>
        <v>0</v>
      </c>
      <c r="E241" s="499">
        <f t="shared" si="115"/>
        <v>0</v>
      </c>
      <c r="F241" s="499">
        <f t="shared" si="115"/>
        <v>0</v>
      </c>
      <c r="G241" s="499">
        <f t="shared" si="115"/>
        <v>0</v>
      </c>
      <c r="H241" s="254">
        <f t="shared" si="115"/>
        <v>5.4443529197023858E-4</v>
      </c>
      <c r="I241" s="254">
        <f t="shared" si="115"/>
        <v>5.3690340370187893E-4</v>
      </c>
      <c r="J241" s="254">
        <f t="shared" si="115"/>
        <v>5.2949086939397063E-4</v>
      </c>
      <c r="K241" s="254">
        <f t="shared" si="115"/>
        <v>5.2219542936076779E-4</v>
      </c>
      <c r="L241" s="254">
        <f t="shared" si="115"/>
        <v>5.1503826804414601E-4</v>
      </c>
      <c r="M241" s="254">
        <f t="shared" si="115"/>
        <v>5.0799355840714473E-4</v>
      </c>
      <c r="N241" s="254">
        <f t="shared" si="115"/>
        <v>5.010592110012089E-4</v>
      </c>
      <c r="O241" s="254">
        <f t="shared" si="115"/>
        <v>4.9423318782413576E-4</v>
      </c>
      <c r="P241" s="254">
        <f t="shared" si="115"/>
        <v>4.8753631586715139E-4</v>
      </c>
      <c r="Q241" s="254">
        <f t="shared" si="115"/>
        <v>4.8094356277542582E-4</v>
      </c>
      <c r="R241" s="254">
        <f t="shared" si="115"/>
        <v>4.7445304070166188E-4</v>
      </c>
      <c r="S241" s="254">
        <f t="shared" si="115"/>
        <v>4.6806290716410278E-4</v>
      </c>
      <c r="T241" s="254">
        <f t="shared" si="115"/>
        <v>4.6454549014204833E-4</v>
      </c>
      <c r="U241" s="254">
        <f t="shared" si="115"/>
        <v>4.6105047705007052E-4</v>
      </c>
      <c r="V241" s="254">
        <f t="shared" si="115"/>
        <v>4.5760027181824652E-4</v>
      </c>
      <c r="W241" s="254">
        <f t="shared" si="115"/>
        <v>4.5417247051649922E-4</v>
      </c>
      <c r="X241" s="254">
        <f t="shared" si="115"/>
        <v>4.5076707314482833E-4</v>
      </c>
      <c r="Y241" s="254">
        <f t="shared" si="115"/>
        <v>4.473840797032343E-4</v>
      </c>
      <c r="Z241" s="254">
        <f t="shared" si="115"/>
        <v>4.440234901917175E-4</v>
      </c>
      <c r="AA241" s="254">
        <f t="shared" si="115"/>
        <v>4.4068530461027766E-4</v>
      </c>
      <c r="AB241" s="254">
        <f t="shared" si="115"/>
        <v>4.3736952295891376E-4</v>
      </c>
    </row>
    <row r="242" spans="2:28" outlineLevel="2" x14ac:dyDescent="0.2">
      <c r="B242" s="169" t="s">
        <v>376</v>
      </c>
      <c r="C242" s="252" t="str">
        <f>C237</f>
        <v>cilvēki / gadā</v>
      </c>
      <c r="D242" s="256">
        <f t="shared" ref="D242:AB242" si="116">D243+D244</f>
        <v>0</v>
      </c>
      <c r="E242" s="256">
        <f t="shared" si="116"/>
        <v>0</v>
      </c>
      <c r="F242" s="256">
        <f t="shared" si="116"/>
        <v>0</v>
      </c>
      <c r="G242" s="256">
        <f t="shared" si="116"/>
        <v>0</v>
      </c>
      <c r="H242" s="256">
        <f t="shared" si="116"/>
        <v>0.24622204203601675</v>
      </c>
      <c r="I242" s="256">
        <f t="shared" si="116"/>
        <v>0.24281572922497285</v>
      </c>
      <c r="J242" s="256">
        <f t="shared" si="116"/>
        <v>0.23946339450150128</v>
      </c>
      <c r="K242" s="256">
        <f t="shared" si="116"/>
        <v>0.2361640159178206</v>
      </c>
      <c r="L242" s="256">
        <f t="shared" si="116"/>
        <v>0.23292717418373235</v>
      </c>
      <c r="M242" s="256">
        <f t="shared" si="116"/>
        <v>0.22974118896573498</v>
      </c>
      <c r="N242" s="256">
        <f t="shared" si="116"/>
        <v>0.22660511530618613</v>
      </c>
      <c r="O242" s="256">
        <f t="shared" si="116"/>
        <v>0.22351803151416771</v>
      </c>
      <c r="P242" s="256">
        <f t="shared" si="116"/>
        <v>0.22048935664164937</v>
      </c>
      <c r="Q242" s="256">
        <f t="shared" si="116"/>
        <v>0.21750776975184749</v>
      </c>
      <c r="R242" s="256">
        <f t="shared" si="116"/>
        <v>0.21457241706172578</v>
      </c>
      <c r="S242" s="256">
        <f t="shared" si="116"/>
        <v>0.21168246530491233</v>
      </c>
      <c r="T242" s="256">
        <f t="shared" si="116"/>
        <v>0.21009170582506984</v>
      </c>
      <c r="U242" s="256">
        <f t="shared" si="116"/>
        <v>0.20851107857121354</v>
      </c>
      <c r="V242" s="256">
        <f t="shared" si="116"/>
        <v>0.20695071576932988</v>
      </c>
      <c r="W242" s="256">
        <f t="shared" si="116"/>
        <v>0.20540048519343235</v>
      </c>
      <c r="X242" s="256">
        <f t="shared" si="116"/>
        <v>0.20386038684352092</v>
      </c>
      <c r="Y242" s="256">
        <f t="shared" si="116"/>
        <v>0.20233042071959592</v>
      </c>
      <c r="Z242" s="256">
        <f t="shared" si="116"/>
        <v>0.20081058682165726</v>
      </c>
      <c r="AA242" s="256">
        <f t="shared" si="116"/>
        <v>0.19930088514970487</v>
      </c>
      <c r="AB242" s="256">
        <f t="shared" si="116"/>
        <v>0.19780131570373849</v>
      </c>
    </row>
    <row r="243" spans="2:28" ht="14.25" outlineLevel="2" x14ac:dyDescent="0.25">
      <c r="B243" s="255" t="s">
        <v>367</v>
      </c>
      <c r="C243" s="255" t="str">
        <f>C242</f>
        <v>cilvēki / gadā</v>
      </c>
      <c r="D243" s="499">
        <f t="shared" ref="D243:AB243" si="117">D240*$D$236</f>
        <v>0</v>
      </c>
      <c r="E243" s="499">
        <f t="shared" si="117"/>
        <v>0</v>
      </c>
      <c r="F243" s="499">
        <f t="shared" si="117"/>
        <v>0</v>
      </c>
      <c r="G243" s="499">
        <f t="shared" si="117"/>
        <v>0</v>
      </c>
      <c r="H243" s="254">
        <f t="shared" si="117"/>
        <v>0.18088980699958812</v>
      </c>
      <c r="I243" s="254">
        <f t="shared" si="117"/>
        <v>0.17838732078074737</v>
      </c>
      <c r="J243" s="254">
        <f t="shared" si="117"/>
        <v>0.17592449017422479</v>
      </c>
      <c r="K243" s="254">
        <f t="shared" si="117"/>
        <v>0.17350056439452846</v>
      </c>
      <c r="L243" s="254">
        <f t="shared" si="117"/>
        <v>0.17112258201843483</v>
      </c>
      <c r="M243" s="254">
        <f t="shared" si="117"/>
        <v>0.16878196195687761</v>
      </c>
      <c r="N243" s="254">
        <f t="shared" si="117"/>
        <v>0.16647800998604106</v>
      </c>
      <c r="O243" s="254">
        <f t="shared" si="117"/>
        <v>0.16421004897527142</v>
      </c>
      <c r="P243" s="254">
        <f t="shared" si="117"/>
        <v>0.1619849987375912</v>
      </c>
      <c r="Q243" s="254">
        <f t="shared" si="117"/>
        <v>0.15979454221879638</v>
      </c>
      <c r="R243" s="254">
        <f t="shared" si="117"/>
        <v>0.15763805217752636</v>
      </c>
      <c r="S243" s="254">
        <f t="shared" si="117"/>
        <v>0.15551491644522</v>
      </c>
      <c r="T243" s="254">
        <f t="shared" si="117"/>
        <v>0.15434624700802405</v>
      </c>
      <c r="U243" s="254">
        <f t="shared" si="117"/>
        <v>0.15318502132520509</v>
      </c>
      <c r="V243" s="254">
        <f t="shared" si="117"/>
        <v>0.1520386831511403</v>
      </c>
      <c r="W243" s="254">
        <f t="shared" si="117"/>
        <v>0.15089978873145243</v>
      </c>
      <c r="X243" s="254">
        <f t="shared" si="117"/>
        <v>0.14976833806614154</v>
      </c>
      <c r="Y243" s="254">
        <f t="shared" si="117"/>
        <v>0.14864433115520781</v>
      </c>
      <c r="Z243" s="254">
        <f t="shared" si="117"/>
        <v>0.14752776799865114</v>
      </c>
      <c r="AA243" s="254">
        <f t="shared" si="117"/>
        <v>0.14641864859647155</v>
      </c>
      <c r="AB243" s="254">
        <f t="shared" si="117"/>
        <v>0.14531697294866885</v>
      </c>
    </row>
    <row r="244" spans="2:28" ht="14.25" outlineLevel="2" x14ac:dyDescent="0.25">
      <c r="B244" s="255" t="s">
        <v>366</v>
      </c>
      <c r="C244" s="255" t="str">
        <f>C243</f>
        <v>cilvēki / gadā</v>
      </c>
      <c r="D244" s="499">
        <f t="shared" ref="D244:AB244" si="118">D241*$D$237</f>
        <v>0</v>
      </c>
      <c r="E244" s="499">
        <f t="shared" si="118"/>
        <v>0</v>
      </c>
      <c r="F244" s="499">
        <f t="shared" si="118"/>
        <v>0</v>
      </c>
      <c r="G244" s="499">
        <f t="shared" si="118"/>
        <v>0</v>
      </c>
      <c r="H244" s="254">
        <f t="shared" si="118"/>
        <v>6.5332235036428626E-2</v>
      </c>
      <c r="I244" s="254">
        <f t="shared" si="118"/>
        <v>6.4428408444225468E-2</v>
      </c>
      <c r="J244" s="254">
        <f t="shared" si="118"/>
        <v>6.3538904327276477E-2</v>
      </c>
      <c r="K244" s="254">
        <f t="shared" si="118"/>
        <v>6.2663451523292141E-2</v>
      </c>
      <c r="L244" s="254">
        <f t="shared" si="118"/>
        <v>6.1804592165297524E-2</v>
      </c>
      <c r="M244" s="254">
        <f t="shared" si="118"/>
        <v>6.0959227008857364E-2</v>
      </c>
      <c r="N244" s="254">
        <f t="shared" si="118"/>
        <v>6.012710532014507E-2</v>
      </c>
      <c r="O244" s="254">
        <f t="shared" si="118"/>
        <v>5.9307982538896291E-2</v>
      </c>
      <c r="P244" s="254">
        <f t="shared" si="118"/>
        <v>5.8504357904058168E-2</v>
      </c>
      <c r="Q244" s="254">
        <f t="shared" si="118"/>
        <v>5.7713227533051095E-2</v>
      </c>
      <c r="R244" s="254">
        <f t="shared" si="118"/>
        <v>5.6934364884199423E-2</v>
      </c>
      <c r="S244" s="254">
        <f t="shared" si="118"/>
        <v>5.6167548859692336E-2</v>
      </c>
      <c r="T244" s="254">
        <f t="shared" si="118"/>
        <v>5.5745458817045797E-2</v>
      </c>
      <c r="U244" s="254">
        <f t="shared" si="118"/>
        <v>5.5326057246008462E-2</v>
      </c>
      <c r="V244" s="254">
        <f t="shared" si="118"/>
        <v>5.4912032618189582E-2</v>
      </c>
      <c r="W244" s="254">
        <f t="shared" si="118"/>
        <v>5.4500696461979907E-2</v>
      </c>
      <c r="X244" s="254">
        <f t="shared" si="118"/>
        <v>5.4092048777379401E-2</v>
      </c>
      <c r="Y244" s="254">
        <f t="shared" si="118"/>
        <v>5.3686089564388119E-2</v>
      </c>
      <c r="Z244" s="254">
        <f t="shared" si="118"/>
        <v>5.3282818823006103E-2</v>
      </c>
      <c r="AA244" s="254">
        <f t="shared" si="118"/>
        <v>5.2882236553233319E-2</v>
      </c>
      <c r="AB244" s="254">
        <f t="shared" si="118"/>
        <v>5.2484342755069649E-2</v>
      </c>
    </row>
    <row r="245" spans="2:28" outlineLevel="2" x14ac:dyDescent="0.2">
      <c r="B245" s="169" t="s">
        <v>375</v>
      </c>
      <c r="C245" s="252" t="s">
        <v>374</v>
      </c>
      <c r="D245" s="251">
        <v>890071</v>
      </c>
      <c r="E245" s="250">
        <f t="shared" ref="E245:AB245" si="119">D245*(1+E$5)</f>
        <v>918553.272</v>
      </c>
      <c r="F245" s="250">
        <f t="shared" si="119"/>
        <v>940598.55052799999</v>
      </c>
      <c r="G245" s="250">
        <f t="shared" si="119"/>
        <v>963172.91574067203</v>
      </c>
      <c r="H245" s="250">
        <f t="shared" si="119"/>
        <v>983399.54697122611</v>
      </c>
      <c r="I245" s="250">
        <f t="shared" si="119"/>
        <v>1004050.9374576218</v>
      </c>
      <c r="J245" s="250">
        <f t="shared" si="119"/>
        <v>1025136.0071442318</v>
      </c>
      <c r="K245" s="250">
        <f t="shared" si="119"/>
        <v>1046663.8632942606</v>
      </c>
      <c r="L245" s="250">
        <f t="shared" si="119"/>
        <v>1068643.80442344</v>
      </c>
      <c r="M245" s="250">
        <f t="shared" si="119"/>
        <v>1091085.3243163321</v>
      </c>
      <c r="N245" s="250">
        <f t="shared" si="119"/>
        <v>1113998.116126975</v>
      </c>
      <c r="O245" s="250">
        <f t="shared" si="119"/>
        <v>1137392.0765656414</v>
      </c>
      <c r="P245" s="250">
        <f t="shared" si="119"/>
        <v>1161277.3101735199</v>
      </c>
      <c r="Q245" s="250">
        <f t="shared" si="119"/>
        <v>1185664.1336871637</v>
      </c>
      <c r="R245" s="250">
        <f t="shared" si="119"/>
        <v>1210563.0804945941</v>
      </c>
      <c r="S245" s="250">
        <f t="shared" si="119"/>
        <v>1235984.9051849805</v>
      </c>
      <c r="T245" s="250">
        <f t="shared" si="119"/>
        <v>1261940.588193865</v>
      </c>
      <c r="U245" s="250">
        <f t="shared" si="119"/>
        <v>1288441.340545936</v>
      </c>
      <c r="V245" s="250">
        <f t="shared" si="119"/>
        <v>1315498.6086974007</v>
      </c>
      <c r="W245" s="250">
        <f t="shared" si="119"/>
        <v>1343124.0794800459</v>
      </c>
      <c r="X245" s="250">
        <f t="shared" si="119"/>
        <v>1371329.6851491267</v>
      </c>
      <c r="Y245" s="250">
        <f t="shared" si="119"/>
        <v>1400127.6085372581</v>
      </c>
      <c r="Z245" s="250">
        <f t="shared" si="119"/>
        <v>1429530.2883165404</v>
      </c>
      <c r="AA245" s="250">
        <f t="shared" si="119"/>
        <v>1459550.4243711876</v>
      </c>
      <c r="AB245" s="250">
        <f t="shared" si="119"/>
        <v>1490200.9832829824</v>
      </c>
    </row>
    <row r="246" spans="2:28" s="182" customFormat="1" outlineLevel="1" x14ac:dyDescent="0.2">
      <c r="B246" s="176" t="s">
        <v>363</v>
      </c>
      <c r="C246" s="183" t="s">
        <v>362</v>
      </c>
      <c r="D246" s="176">
        <f t="shared" ref="D246:AB246" si="120">D245*D242</f>
        <v>0</v>
      </c>
      <c r="E246" s="176">
        <f t="shared" si="120"/>
        <v>0</v>
      </c>
      <c r="F246" s="176">
        <f t="shared" si="120"/>
        <v>0</v>
      </c>
      <c r="G246" s="176">
        <f t="shared" si="120"/>
        <v>0</v>
      </c>
      <c r="H246" s="249">
        <f t="shared" si="120"/>
        <v>242134.64459254907</v>
      </c>
      <c r="I246" s="249">
        <f t="shared" si="120"/>
        <v>243799.36055779006</v>
      </c>
      <c r="J246" s="249">
        <f t="shared" si="120"/>
        <v>245482.54809647301</v>
      </c>
      <c r="K246" s="249">
        <f t="shared" si="120"/>
        <v>247184.34127163337</v>
      </c>
      <c r="L246" s="249">
        <f t="shared" si="120"/>
        <v>248916.18157330502</v>
      </c>
      <c r="M246" s="249">
        <f t="shared" si="120"/>
        <v>250667.23967149868</v>
      </c>
      <c r="N246" s="249">
        <f t="shared" si="120"/>
        <v>252437.67155582731</v>
      </c>
      <c r="O246" s="249">
        <f t="shared" si="120"/>
        <v>254227.6380137637</v>
      </c>
      <c r="P246" s="249">
        <f t="shared" si="120"/>
        <v>256049.28700270451</v>
      </c>
      <c r="Q246" s="249">
        <f t="shared" si="120"/>
        <v>257891.16139305133</v>
      </c>
      <c r="R246" s="249">
        <f t="shared" si="120"/>
        <v>259753.44618741356</v>
      </c>
      <c r="S246" s="249">
        <f t="shared" si="120"/>
        <v>261636.33180921499</v>
      </c>
      <c r="T246" s="249">
        <f t="shared" si="120"/>
        <v>265123.25082354108</v>
      </c>
      <c r="U246" s="249">
        <f t="shared" si="120"/>
        <v>268654.29359297338</v>
      </c>
      <c r="V246" s="249">
        <f t="shared" si="120"/>
        <v>272243.37866348471</v>
      </c>
      <c r="W246" s="249">
        <f t="shared" si="120"/>
        <v>275878.33760018361</v>
      </c>
      <c r="X246" s="249">
        <f t="shared" si="120"/>
        <v>279559.80010450474</v>
      </c>
      <c r="Y246" s="249">
        <f t="shared" si="120"/>
        <v>283288.40809646511</v>
      </c>
      <c r="Z246" s="249">
        <f t="shared" si="120"/>
        <v>287064.81607617735</v>
      </c>
      <c r="AA246" s="249">
        <f t="shared" si="120"/>
        <v>290889.69149780506</v>
      </c>
      <c r="AB246" s="249">
        <f t="shared" si="120"/>
        <v>294763.71515637869</v>
      </c>
    </row>
    <row r="247" spans="2:28" outlineLevel="1" x14ac:dyDescent="0.2"/>
    <row r="248" spans="2:28" s="258" customFormat="1" outlineLevel="1" x14ac:dyDescent="0.2">
      <c r="B248" s="258" t="s">
        <v>373</v>
      </c>
      <c r="C248" s="259"/>
      <c r="D248" s="259"/>
      <c r="E248" s="259"/>
      <c r="F248" s="259"/>
      <c r="G248" s="259"/>
      <c r="H248" s="259"/>
      <c r="I248" s="259"/>
      <c r="J248" s="259"/>
      <c r="K248" s="259"/>
      <c r="L248" s="259"/>
      <c r="M248" s="259"/>
      <c r="N248" s="259"/>
      <c r="O248" s="259"/>
      <c r="P248" s="259"/>
      <c r="Q248" s="259"/>
      <c r="R248" s="259"/>
      <c r="S248" s="259"/>
      <c r="T248" s="259"/>
      <c r="U248" s="259"/>
      <c r="V248" s="259"/>
      <c r="W248" s="259"/>
      <c r="X248" s="259"/>
    </row>
    <row r="249" spans="2:28" ht="14.25" outlineLevel="2" x14ac:dyDescent="0.25">
      <c r="B249" s="169" t="s">
        <v>372</v>
      </c>
      <c r="C249" s="252" t="s">
        <v>370</v>
      </c>
      <c r="D249" s="257">
        <v>8400</v>
      </c>
    </row>
    <row r="250" spans="2:28" ht="14.25" outlineLevel="2" x14ac:dyDescent="0.25">
      <c r="B250" s="169" t="s">
        <v>371</v>
      </c>
      <c r="C250" s="252" t="s">
        <v>370</v>
      </c>
      <c r="D250" s="257">
        <v>1200</v>
      </c>
    </row>
    <row r="251" spans="2:28" outlineLevel="2" x14ac:dyDescent="0.2">
      <c r="B251" s="169" t="s">
        <v>369</v>
      </c>
      <c r="C251" s="252" t="s">
        <v>368</v>
      </c>
      <c r="D251" s="256">
        <f t="shared" ref="D251:AB251" si="121">D252+D253</f>
        <v>0</v>
      </c>
      <c r="E251" s="256">
        <f t="shared" si="121"/>
        <v>0</v>
      </c>
      <c r="F251" s="256">
        <f t="shared" si="121"/>
        <v>0</v>
      </c>
      <c r="G251" s="256">
        <f t="shared" si="121"/>
        <v>0</v>
      </c>
      <c r="H251" s="256">
        <f t="shared" si="121"/>
        <v>2.5063398854820185</v>
      </c>
      <c r="I251" s="256">
        <f t="shared" si="121"/>
        <v>2.4716663948791791</v>
      </c>
      <c r="J251" s="256">
        <f t="shared" si="121"/>
        <v>2.4375423572526285</v>
      </c>
      <c r="K251" s="256">
        <f t="shared" si="121"/>
        <v>2.4039573700061396</v>
      </c>
      <c r="L251" s="256">
        <f t="shared" si="121"/>
        <v>2.3710089569637711</v>
      </c>
      <c r="M251" s="256">
        <f t="shared" si="121"/>
        <v>2.3385782218419542</v>
      </c>
      <c r="N251" s="256">
        <f t="shared" si="121"/>
        <v>2.3066555457413838</v>
      </c>
      <c r="O251" s="256">
        <f t="shared" si="121"/>
        <v>2.2752315465990605</v>
      </c>
      <c r="P251" s="256">
        <f t="shared" si="121"/>
        <v>2.2444021026939547</v>
      </c>
      <c r="Q251" s="256">
        <f t="shared" si="121"/>
        <v>2.2140519761084256</v>
      </c>
      <c r="R251" s="256">
        <f t="shared" si="121"/>
        <v>2.1841724760264105</v>
      </c>
      <c r="S251" s="256">
        <f t="shared" si="121"/>
        <v>2.1547551204747868</v>
      </c>
      <c r="T251" s="256">
        <f t="shared" si="121"/>
        <v>2.1385624843502162</v>
      </c>
      <c r="U251" s="256">
        <f t="shared" si="121"/>
        <v>2.1224729860353562</v>
      </c>
      <c r="V251" s="256">
        <f t="shared" si="121"/>
        <v>2.1065897633399184</v>
      </c>
      <c r="W251" s="256">
        <f t="shared" si="121"/>
        <v>2.0908096784541899</v>
      </c>
      <c r="X251" s="256">
        <f t="shared" si="121"/>
        <v>2.0751327313781709</v>
      </c>
      <c r="Y251" s="256">
        <f t="shared" si="121"/>
        <v>2.0595589221118633</v>
      </c>
      <c r="Z251" s="256">
        <f t="shared" si="121"/>
        <v>2.0440882506552676</v>
      </c>
      <c r="AA251" s="256">
        <f t="shared" si="121"/>
        <v>2.0287207170083832</v>
      </c>
      <c r="AB251" s="256">
        <f t="shared" si="121"/>
        <v>2.0134563211712067</v>
      </c>
    </row>
    <row r="252" spans="2:28" ht="14.25" outlineLevel="2" x14ac:dyDescent="0.25">
      <c r="B252" s="255" t="s">
        <v>367</v>
      </c>
      <c r="C252" s="255" t="str">
        <f>C251</f>
        <v>cilvēkgadi</v>
      </c>
      <c r="D252" s="499">
        <f t="shared" ref="D252:AB252" si="122">D240*$D$249</f>
        <v>0</v>
      </c>
      <c r="E252" s="499">
        <f t="shared" si="122"/>
        <v>0</v>
      </c>
      <c r="F252" s="499">
        <f t="shared" si="122"/>
        <v>0</v>
      </c>
      <c r="G252" s="499">
        <f t="shared" si="122"/>
        <v>0</v>
      </c>
      <c r="H252" s="254">
        <f t="shared" si="122"/>
        <v>1.853017535117732</v>
      </c>
      <c r="I252" s="254">
        <f t="shared" si="122"/>
        <v>1.8273823104369242</v>
      </c>
      <c r="J252" s="254">
        <f t="shared" si="122"/>
        <v>1.8021533139798638</v>
      </c>
      <c r="K252" s="254">
        <f t="shared" si="122"/>
        <v>1.7773228547732185</v>
      </c>
      <c r="L252" s="254">
        <f t="shared" si="122"/>
        <v>1.7529630353107959</v>
      </c>
      <c r="M252" s="254">
        <f t="shared" si="122"/>
        <v>1.7289859517533805</v>
      </c>
      <c r="N252" s="254">
        <f t="shared" si="122"/>
        <v>1.7053844925399331</v>
      </c>
      <c r="O252" s="254">
        <f t="shared" si="122"/>
        <v>1.6821517212100976</v>
      </c>
      <c r="P252" s="254">
        <f t="shared" si="122"/>
        <v>1.6593585236533732</v>
      </c>
      <c r="Q252" s="254">
        <f t="shared" si="122"/>
        <v>1.6369197007779144</v>
      </c>
      <c r="R252" s="254">
        <f t="shared" si="122"/>
        <v>1.6148288271844164</v>
      </c>
      <c r="S252" s="254">
        <f t="shared" si="122"/>
        <v>1.5930796318778635</v>
      </c>
      <c r="T252" s="254">
        <f t="shared" si="122"/>
        <v>1.5811078961797584</v>
      </c>
      <c r="U252" s="254">
        <f t="shared" si="122"/>
        <v>1.5692124135752716</v>
      </c>
      <c r="V252" s="254">
        <f t="shared" si="122"/>
        <v>1.5574694371580227</v>
      </c>
      <c r="W252" s="254">
        <f t="shared" si="122"/>
        <v>1.5458027138343908</v>
      </c>
      <c r="X252" s="254">
        <f t="shared" si="122"/>
        <v>1.5342122436043768</v>
      </c>
      <c r="Y252" s="254">
        <f t="shared" si="122"/>
        <v>1.5226980264679824</v>
      </c>
      <c r="Z252" s="254">
        <f t="shared" si="122"/>
        <v>1.5112600624252068</v>
      </c>
      <c r="AA252" s="254">
        <f t="shared" si="122"/>
        <v>1.49989835147605</v>
      </c>
      <c r="AB252" s="254">
        <f t="shared" si="122"/>
        <v>1.4886128936205101</v>
      </c>
    </row>
    <row r="253" spans="2:28" ht="14.25" outlineLevel="2" x14ac:dyDescent="0.25">
      <c r="B253" s="255" t="s">
        <v>366</v>
      </c>
      <c r="C253" s="255" t="str">
        <f>C252</f>
        <v>cilvēkgadi</v>
      </c>
      <c r="D253" s="499">
        <f t="shared" ref="D253:AB253" si="123">D241*$D$250</f>
        <v>0</v>
      </c>
      <c r="E253" s="499">
        <f t="shared" si="123"/>
        <v>0</v>
      </c>
      <c r="F253" s="499">
        <f t="shared" si="123"/>
        <v>0</v>
      </c>
      <c r="G253" s="499">
        <f t="shared" si="123"/>
        <v>0</v>
      </c>
      <c r="H253" s="254">
        <f t="shared" si="123"/>
        <v>0.65332235036428632</v>
      </c>
      <c r="I253" s="254">
        <f t="shared" si="123"/>
        <v>0.64428408444225471</v>
      </c>
      <c r="J253" s="254">
        <f t="shared" si="123"/>
        <v>0.6353890432727648</v>
      </c>
      <c r="K253" s="254">
        <f t="shared" si="123"/>
        <v>0.62663451523292135</v>
      </c>
      <c r="L253" s="254">
        <f t="shared" si="123"/>
        <v>0.61804592165297523</v>
      </c>
      <c r="M253" s="254">
        <f t="shared" si="123"/>
        <v>0.60959227008857364</v>
      </c>
      <c r="N253" s="254">
        <f t="shared" si="123"/>
        <v>0.60127105320145069</v>
      </c>
      <c r="O253" s="254">
        <f t="shared" si="123"/>
        <v>0.59307982538896287</v>
      </c>
      <c r="P253" s="254">
        <f t="shared" si="123"/>
        <v>0.58504357904058168</v>
      </c>
      <c r="Q253" s="254">
        <f t="shared" si="123"/>
        <v>0.57713227533051104</v>
      </c>
      <c r="R253" s="254">
        <f t="shared" si="123"/>
        <v>0.56934364884199429</v>
      </c>
      <c r="S253" s="254">
        <f t="shared" si="123"/>
        <v>0.56167548859692329</v>
      </c>
      <c r="T253" s="254">
        <f t="shared" si="123"/>
        <v>0.55745458817045801</v>
      </c>
      <c r="U253" s="254">
        <f t="shared" si="123"/>
        <v>0.55326057246008464</v>
      </c>
      <c r="V253" s="254">
        <f t="shared" si="123"/>
        <v>0.54912032618189588</v>
      </c>
      <c r="W253" s="254">
        <f t="shared" si="123"/>
        <v>0.54500696461979903</v>
      </c>
      <c r="X253" s="254">
        <f t="shared" si="123"/>
        <v>0.54092048777379398</v>
      </c>
      <c r="Y253" s="254">
        <f t="shared" si="123"/>
        <v>0.53686089564388118</v>
      </c>
      <c r="Z253" s="254">
        <f t="shared" si="123"/>
        <v>0.53282818823006095</v>
      </c>
      <c r="AA253" s="254">
        <f t="shared" si="123"/>
        <v>0.52882236553233319</v>
      </c>
      <c r="AB253" s="254">
        <f t="shared" si="123"/>
        <v>0.52484342755069646</v>
      </c>
    </row>
    <row r="254" spans="2:28" outlineLevel="2" x14ac:dyDescent="0.2">
      <c r="B254" s="253" t="s">
        <v>365</v>
      </c>
      <c r="C254" s="252" t="s">
        <v>364</v>
      </c>
      <c r="D254" s="251">
        <v>23578</v>
      </c>
      <c r="E254" s="250">
        <f t="shared" ref="E254:AB254" si="124">D254*(1+E$5)</f>
        <v>24332.495999999999</v>
      </c>
      <c r="F254" s="250">
        <f t="shared" si="124"/>
        <v>24916.475903999999</v>
      </c>
      <c r="G254" s="250">
        <f t="shared" si="124"/>
        <v>25514.471325695999</v>
      </c>
      <c r="H254" s="250">
        <f t="shared" si="124"/>
        <v>26050.275223535613</v>
      </c>
      <c r="I254" s="250">
        <f t="shared" si="124"/>
        <v>26597.331003229858</v>
      </c>
      <c r="J254" s="250">
        <f t="shared" si="124"/>
        <v>27155.874954297684</v>
      </c>
      <c r="K254" s="250">
        <f t="shared" si="124"/>
        <v>27726.148328337931</v>
      </c>
      <c r="L254" s="250">
        <f t="shared" si="124"/>
        <v>28308.397443233025</v>
      </c>
      <c r="M254" s="250">
        <f t="shared" si="124"/>
        <v>28902.873789540918</v>
      </c>
      <c r="N254" s="250">
        <f t="shared" si="124"/>
        <v>29509.834139121274</v>
      </c>
      <c r="O254" s="250">
        <f t="shared" si="124"/>
        <v>30129.54065604282</v>
      </c>
      <c r="P254" s="250">
        <f t="shared" si="124"/>
        <v>30762.261009819715</v>
      </c>
      <c r="Q254" s="250">
        <f t="shared" si="124"/>
        <v>31408.268491025927</v>
      </c>
      <c r="R254" s="250">
        <f t="shared" si="124"/>
        <v>32067.842129337467</v>
      </c>
      <c r="S254" s="250">
        <f t="shared" si="124"/>
        <v>32741.26681405355</v>
      </c>
      <c r="T254" s="250">
        <f t="shared" si="124"/>
        <v>33428.833417148671</v>
      </c>
      <c r="U254" s="250">
        <f t="shared" si="124"/>
        <v>34130.83891890879</v>
      </c>
      <c r="V254" s="250">
        <f t="shared" si="124"/>
        <v>34847.586536205868</v>
      </c>
      <c r="W254" s="250">
        <f t="shared" si="124"/>
        <v>35579.385853466185</v>
      </c>
      <c r="X254" s="250">
        <f t="shared" si="124"/>
        <v>36326.552956388972</v>
      </c>
      <c r="Y254" s="250">
        <f t="shared" si="124"/>
        <v>37089.41056847314</v>
      </c>
      <c r="Z254" s="250">
        <f t="shared" si="124"/>
        <v>37868.288190411076</v>
      </c>
      <c r="AA254" s="250">
        <f t="shared" si="124"/>
        <v>38663.522242409708</v>
      </c>
      <c r="AB254" s="250">
        <f t="shared" si="124"/>
        <v>39475.456209500306</v>
      </c>
    </row>
    <row r="255" spans="2:28" outlineLevel="2" x14ac:dyDescent="0.2">
      <c r="B255" s="176" t="s">
        <v>363</v>
      </c>
      <c r="C255" s="183" t="s">
        <v>362</v>
      </c>
      <c r="D255" s="176">
        <f t="shared" ref="D255:AB255" si="125">D254*D251</f>
        <v>0</v>
      </c>
      <c r="E255" s="176">
        <f t="shared" si="125"/>
        <v>0</v>
      </c>
      <c r="F255" s="176">
        <f t="shared" si="125"/>
        <v>0</v>
      </c>
      <c r="G255" s="176">
        <f t="shared" si="125"/>
        <v>0</v>
      </c>
      <c r="H255" s="249">
        <f t="shared" si="125"/>
        <v>65290.843820531314</v>
      </c>
      <c r="I255" s="249">
        <f t="shared" si="125"/>
        <v>65739.729234161365</v>
      </c>
      <c r="J255" s="249">
        <f t="shared" si="125"/>
        <v>66193.595449356391</v>
      </c>
      <c r="K255" s="249">
        <f t="shared" si="125"/>
        <v>66652.478615791377</v>
      </c>
      <c r="L255" s="249">
        <f t="shared" si="125"/>
        <v>67119.463895195819</v>
      </c>
      <c r="M255" s="249">
        <f t="shared" si="125"/>
        <v>67591.631192867018</v>
      </c>
      <c r="N255" s="249">
        <f t="shared" si="125"/>
        <v>68069.022570912508</v>
      </c>
      <c r="O255" s="249">
        <f t="shared" si="125"/>
        <v>68551.681385167583</v>
      </c>
      <c r="P255" s="249">
        <f t="shared" si="125"/>
        <v>69042.883294059618</v>
      </c>
      <c r="Q255" s="249">
        <f t="shared" si="125"/>
        <v>69539.538918699953</v>
      </c>
      <c r="R255" s="249">
        <f t="shared" si="125"/>
        <v>70041.698144459049</v>
      </c>
      <c r="S255" s="249">
        <f t="shared" si="125"/>
        <v>70549.412318413102</v>
      </c>
      <c r="T255" s="249">
        <f t="shared" si="125"/>
        <v>71489.649041506986</v>
      </c>
      <c r="U255" s="249">
        <f t="shared" si="125"/>
        <v>72441.783596108085</v>
      </c>
      <c r="V255" s="249">
        <f t="shared" si="125"/>
        <v>73409.569074273255</v>
      </c>
      <c r="W255" s="249">
        <f t="shared" si="125"/>
        <v>74389.724295883192</v>
      </c>
      <c r="X255" s="249">
        <f t="shared" si="125"/>
        <v>75382.419057945212</v>
      </c>
      <c r="Y255" s="249">
        <f t="shared" si="125"/>
        <v>76387.826452168898</v>
      </c>
      <c r="Z255" s="249">
        <f t="shared" si="125"/>
        <v>77406.122962446898</v>
      </c>
      <c r="AA255" s="249">
        <f t="shared" si="125"/>
        <v>78437.48856569099</v>
      </c>
      <c r="AB255" s="249">
        <f t="shared" si="125"/>
        <v>79482.106836135557</v>
      </c>
    </row>
    <row r="256" spans="2:28" outlineLevel="1" x14ac:dyDescent="0.2"/>
  </sheetData>
  <mergeCells count="22">
    <mergeCell ref="B222:C222"/>
    <mergeCell ref="Z142:AA142"/>
    <mergeCell ref="B174:B175"/>
    <mergeCell ref="C174:D174"/>
    <mergeCell ref="B199:B200"/>
    <mergeCell ref="C199:D199"/>
    <mergeCell ref="B168:C170"/>
    <mergeCell ref="B218:B219"/>
    <mergeCell ref="B183:C183"/>
    <mergeCell ref="A14:A15"/>
    <mergeCell ref="D14:F14"/>
    <mergeCell ref="B203:C203"/>
    <mergeCell ref="C218:E218"/>
    <mergeCell ref="B8:C8"/>
    <mergeCell ref="B9:C9"/>
    <mergeCell ref="B14:B15"/>
    <mergeCell ref="C14:C15"/>
    <mergeCell ref="B1:C1"/>
    <mergeCell ref="B4:C4"/>
    <mergeCell ref="B5:C5"/>
    <mergeCell ref="B7:C7"/>
    <mergeCell ref="B6:C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B3:I13"/>
  <sheetViews>
    <sheetView workbookViewId="0">
      <selection activeCell="D19" sqref="D19"/>
    </sheetView>
  </sheetViews>
  <sheetFormatPr defaultColWidth="8.85546875" defaultRowHeight="12" x14ac:dyDescent="0.2"/>
  <cols>
    <col min="1" max="1" width="8.85546875" style="2"/>
    <col min="2" max="2" width="18.28515625" style="2" customWidth="1"/>
    <col min="3" max="12" width="8.7109375" style="2" customWidth="1"/>
    <col min="13" max="13" width="10.42578125" style="2" bestFit="1" customWidth="1"/>
    <col min="14" max="16384" width="8.85546875" style="2"/>
  </cols>
  <sheetData>
    <row r="3" spans="2:9" ht="15" x14ac:dyDescent="0.25">
      <c r="B3" s="516" t="s">
        <v>219</v>
      </c>
      <c r="C3" s="516"/>
      <c r="D3" s="516"/>
      <c r="E3" s="516"/>
      <c r="F3" s="516"/>
      <c r="G3" s="516"/>
      <c r="H3" s="516"/>
      <c r="I3" s="516"/>
    </row>
    <row r="5" spans="2:9" x14ac:dyDescent="0.2">
      <c r="B5" s="517" t="s">
        <v>220</v>
      </c>
      <c r="C5" s="517"/>
    </row>
    <row r="6" spans="2:9" x14ac:dyDescent="0.2">
      <c r="I6" s="119" t="s">
        <v>222</v>
      </c>
    </row>
    <row r="7" spans="2:9" x14ac:dyDescent="0.2">
      <c r="B7" s="518" t="s">
        <v>221</v>
      </c>
      <c r="C7" s="518"/>
      <c r="D7" s="518"/>
      <c r="E7" s="518"/>
      <c r="F7" s="518"/>
      <c r="G7" s="518"/>
    </row>
    <row r="8" spans="2:9" x14ac:dyDescent="0.2">
      <c r="B8" s="518"/>
      <c r="C8" s="518"/>
      <c r="D8" s="518"/>
      <c r="E8" s="518"/>
      <c r="F8" s="518"/>
      <c r="G8" s="518"/>
    </row>
    <row r="9" spans="2:9" x14ac:dyDescent="0.2">
      <c r="B9" s="518"/>
      <c r="C9" s="518"/>
      <c r="D9" s="518"/>
      <c r="E9" s="518"/>
      <c r="F9" s="518"/>
      <c r="G9" s="518"/>
    </row>
    <row r="10" spans="2:9" x14ac:dyDescent="0.2">
      <c r="B10" s="518"/>
      <c r="C10" s="518"/>
      <c r="D10" s="518"/>
      <c r="E10" s="518"/>
      <c r="F10" s="518"/>
      <c r="G10" s="518"/>
    </row>
    <row r="11" spans="2:9" x14ac:dyDescent="0.2">
      <c r="B11" s="518"/>
      <c r="C11" s="518"/>
      <c r="D11" s="518"/>
      <c r="E11" s="518"/>
      <c r="F11" s="518"/>
      <c r="G11" s="518"/>
    </row>
    <row r="13" spans="2:9" x14ac:dyDescent="0.2">
      <c r="C13" s="142"/>
    </row>
  </sheetData>
  <mergeCells count="3">
    <mergeCell ref="B3:I3"/>
    <mergeCell ref="B5:C5"/>
    <mergeCell ref="B7:G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77"/>
  <sheetViews>
    <sheetView zoomScale="85" zoomScaleNormal="85" workbookViewId="0">
      <pane xSplit="3" ySplit="7" topLeftCell="D17" activePane="bottomRight" state="frozen"/>
      <selection pane="topRight" activeCell="D1" sqref="D1"/>
      <selection pane="bottomLeft" activeCell="A7" sqref="A7"/>
      <selection pane="bottomRight" activeCell="D39" sqref="D39"/>
    </sheetView>
  </sheetViews>
  <sheetFormatPr defaultColWidth="0" defaultRowHeight="12" zeroHeight="1" outlineLevelRow="2" x14ac:dyDescent="0.2"/>
  <cols>
    <col min="1" max="1" width="8.85546875" style="355" customWidth="1"/>
    <col min="2" max="2" width="40.7109375" style="355" customWidth="1"/>
    <col min="3" max="3" width="8.85546875" style="356" customWidth="1"/>
    <col min="4" max="25" width="8.85546875" style="355" customWidth="1"/>
    <col min="26" max="16384" width="8.85546875" style="355" hidden="1"/>
  </cols>
  <sheetData>
    <row r="1" spans="2:24" x14ac:dyDescent="0.2"/>
    <row r="2" spans="2:24" x14ac:dyDescent="0.2"/>
    <row r="3" spans="2:24" x14ac:dyDescent="0.2"/>
    <row r="4" spans="2:24" x14ac:dyDescent="0.2">
      <c r="B4" s="357" t="s">
        <v>169</v>
      </c>
      <c r="D4" s="358">
        <v>2028</v>
      </c>
      <c r="E4" s="358">
        <f>D4+1</f>
        <v>2029</v>
      </c>
      <c r="F4" s="358">
        <f t="shared" ref="F4:M4" si="0">E4+1</f>
        <v>2030</v>
      </c>
      <c r="G4" s="358">
        <f t="shared" si="0"/>
        <v>2031</v>
      </c>
      <c r="H4" s="358">
        <f t="shared" si="0"/>
        <v>2032</v>
      </c>
      <c r="I4" s="358">
        <f t="shared" si="0"/>
        <v>2033</v>
      </c>
      <c r="J4" s="358">
        <f t="shared" si="0"/>
        <v>2034</v>
      </c>
      <c r="K4" s="358">
        <f t="shared" si="0"/>
        <v>2035</v>
      </c>
      <c r="L4" s="358">
        <f t="shared" si="0"/>
        <v>2036</v>
      </c>
      <c r="M4" s="358">
        <f t="shared" si="0"/>
        <v>2037</v>
      </c>
      <c r="N4" s="358">
        <f t="shared" ref="N4:S4" si="1">M4+1</f>
        <v>2038</v>
      </c>
      <c r="O4" s="358">
        <f t="shared" si="1"/>
        <v>2039</v>
      </c>
      <c r="P4" s="358">
        <f t="shared" si="1"/>
        <v>2040</v>
      </c>
      <c r="Q4" s="358">
        <f t="shared" si="1"/>
        <v>2041</v>
      </c>
      <c r="R4" s="358">
        <f t="shared" si="1"/>
        <v>2042</v>
      </c>
      <c r="S4" s="358">
        <f t="shared" si="1"/>
        <v>2043</v>
      </c>
      <c r="T4" s="358">
        <f t="shared" ref="T4:U4" si="2">S4+1</f>
        <v>2044</v>
      </c>
      <c r="U4" s="358">
        <f t="shared" si="2"/>
        <v>2045</v>
      </c>
      <c r="V4" s="358">
        <f t="shared" ref="V4:X4" si="3">U4+1</f>
        <v>2046</v>
      </c>
      <c r="W4" s="358">
        <f t="shared" si="3"/>
        <v>2047</v>
      </c>
      <c r="X4" s="358">
        <f t="shared" si="3"/>
        <v>2048</v>
      </c>
    </row>
    <row r="5" spans="2:24" x14ac:dyDescent="0.2">
      <c r="B5" s="357" t="s">
        <v>168</v>
      </c>
      <c r="D5" s="358">
        <v>1</v>
      </c>
      <c r="E5" s="358">
        <v>2</v>
      </c>
      <c r="F5" s="358">
        <v>3</v>
      </c>
      <c r="G5" s="358">
        <v>4</v>
      </c>
      <c r="H5" s="358">
        <v>5</v>
      </c>
      <c r="I5" s="358">
        <v>6</v>
      </c>
      <c r="J5" s="358">
        <v>7</v>
      </c>
      <c r="K5" s="358">
        <v>8</v>
      </c>
      <c r="L5" s="358">
        <v>9</v>
      </c>
      <c r="M5" s="358">
        <v>10</v>
      </c>
      <c r="N5" s="358">
        <v>11</v>
      </c>
      <c r="O5" s="358">
        <v>12</v>
      </c>
      <c r="P5" s="358">
        <v>13</v>
      </c>
      <c r="Q5" s="358">
        <v>14</v>
      </c>
      <c r="R5" s="358">
        <v>15</v>
      </c>
      <c r="S5" s="358">
        <v>16</v>
      </c>
      <c r="T5" s="358">
        <v>17</v>
      </c>
      <c r="U5" s="358">
        <v>18</v>
      </c>
      <c r="V5" s="358">
        <v>19</v>
      </c>
      <c r="W5" s="358">
        <v>20</v>
      </c>
      <c r="X5" s="358">
        <v>21</v>
      </c>
    </row>
    <row r="6" spans="2:24" hidden="1" outlineLevel="1" x14ac:dyDescent="0.2">
      <c r="B6" s="357" t="s">
        <v>168</v>
      </c>
      <c r="D6" s="359">
        <v>0</v>
      </c>
      <c r="E6" s="359">
        <v>1</v>
      </c>
      <c r="F6" s="359">
        <v>2</v>
      </c>
      <c r="G6" s="359">
        <v>3</v>
      </c>
      <c r="H6" s="359">
        <v>4</v>
      </c>
      <c r="I6" s="359">
        <v>5</v>
      </c>
      <c r="J6" s="359">
        <v>6</v>
      </c>
      <c r="K6" s="359">
        <v>7</v>
      </c>
      <c r="L6" s="359">
        <v>8</v>
      </c>
      <c r="M6" s="359">
        <v>9</v>
      </c>
      <c r="N6" s="359">
        <v>10</v>
      </c>
      <c r="O6" s="359">
        <v>11</v>
      </c>
      <c r="P6" s="359">
        <v>12</v>
      </c>
      <c r="Q6" s="359">
        <v>13</v>
      </c>
      <c r="R6" s="359">
        <v>14</v>
      </c>
      <c r="S6" s="359">
        <v>15</v>
      </c>
      <c r="T6" s="359">
        <v>16</v>
      </c>
      <c r="U6" s="359">
        <v>17</v>
      </c>
      <c r="V6" s="359">
        <v>18</v>
      </c>
      <c r="W6" s="359">
        <v>19</v>
      </c>
      <c r="X6" s="359">
        <v>20</v>
      </c>
    </row>
    <row r="7" spans="2:24" collapsed="1" x14ac:dyDescent="0.2"/>
    <row r="8" spans="2:24" x14ac:dyDescent="0.2">
      <c r="C8" s="360" t="s">
        <v>228</v>
      </c>
      <c r="D8" s="361"/>
      <c r="E8" s="361"/>
      <c r="F8" s="361"/>
      <c r="G8" s="361"/>
      <c r="H8" s="361"/>
      <c r="I8" s="361"/>
      <c r="J8" s="361"/>
      <c r="K8" s="361"/>
      <c r="L8" s="361"/>
      <c r="M8" s="361"/>
      <c r="N8" s="361"/>
      <c r="O8" s="361"/>
      <c r="P8" s="361"/>
      <c r="Q8" s="361"/>
      <c r="R8" s="361"/>
      <c r="S8" s="361"/>
      <c r="T8" s="361"/>
      <c r="U8" s="361"/>
      <c r="V8" s="361"/>
      <c r="W8" s="361"/>
      <c r="X8" s="361"/>
    </row>
    <row r="9" spans="2:24" x14ac:dyDescent="0.2">
      <c r="B9" s="362" t="s">
        <v>224</v>
      </c>
      <c r="D9" s="361"/>
      <c r="E9" s="361"/>
      <c r="F9" s="361"/>
      <c r="G9" s="361"/>
      <c r="H9" s="361"/>
      <c r="I9" s="361"/>
      <c r="J9" s="361"/>
      <c r="K9" s="361"/>
      <c r="L9" s="361"/>
      <c r="M9" s="361"/>
      <c r="N9" s="361"/>
      <c r="O9" s="361"/>
      <c r="P9" s="361"/>
      <c r="Q9" s="361"/>
      <c r="R9" s="361"/>
      <c r="S9" s="361"/>
      <c r="T9" s="361"/>
      <c r="U9" s="361"/>
      <c r="V9" s="361"/>
      <c r="W9" s="361"/>
      <c r="X9" s="361"/>
    </row>
    <row r="10" spans="2:24" x14ac:dyDescent="0.2">
      <c r="B10" s="355" t="s">
        <v>223</v>
      </c>
      <c r="C10" s="363"/>
      <c r="D10" s="364">
        <f>'Proj_FinEkonAnalize '!G4</f>
        <v>2.4E-2</v>
      </c>
      <c r="E10" s="364">
        <f>'Proj_FinEkonAnalize '!H4</f>
        <v>0.02</v>
      </c>
      <c r="F10" s="364">
        <f>'Proj_FinEkonAnalize '!I4</f>
        <v>0.02</v>
      </c>
      <c r="G10" s="364">
        <f>'Proj_FinEkonAnalize '!J4</f>
        <v>0.02</v>
      </c>
      <c r="H10" s="364">
        <f>'Proj_FinEkonAnalize '!K4</f>
        <v>0.02</v>
      </c>
      <c r="I10" s="364">
        <f>'Proj_FinEkonAnalize '!L4</f>
        <v>0.02</v>
      </c>
      <c r="J10" s="364">
        <f>'Proj_FinEkonAnalize '!M4</f>
        <v>0.02</v>
      </c>
      <c r="K10" s="364">
        <f>'Proj_FinEkonAnalize '!N4</f>
        <v>0.02</v>
      </c>
      <c r="L10" s="364">
        <f>'Proj_FinEkonAnalize '!O4</f>
        <v>0.02</v>
      </c>
      <c r="M10" s="364">
        <f>'Proj_FinEkonAnalize '!P4</f>
        <v>0.02</v>
      </c>
      <c r="N10" s="364">
        <f>'Proj_FinEkonAnalize '!Q4</f>
        <v>0.02</v>
      </c>
      <c r="O10" s="364">
        <f>'Proj_FinEkonAnalize '!R4</f>
        <v>0.02</v>
      </c>
      <c r="P10" s="364">
        <f>'Proj_FinEkonAnalize '!S4</f>
        <v>0.02</v>
      </c>
      <c r="Q10" s="364">
        <f>'Proj_FinEkonAnalize '!T4</f>
        <v>0.02</v>
      </c>
      <c r="R10" s="364">
        <f>'Proj_FinEkonAnalize '!U4</f>
        <v>0.02</v>
      </c>
      <c r="S10" s="364">
        <f>'Proj_FinEkonAnalize '!V4</f>
        <v>0.02</v>
      </c>
      <c r="T10" s="364">
        <f>'Proj_FinEkonAnalize '!W4</f>
        <v>0.02</v>
      </c>
      <c r="U10" s="364">
        <f>'Proj_FinEkonAnalize '!X4</f>
        <v>0.02</v>
      </c>
      <c r="V10" s="364">
        <f>'Proj_FinEkonAnalize '!Y4</f>
        <v>0.02</v>
      </c>
      <c r="W10" s="364">
        <f>'Proj_FinEkonAnalize '!Z4</f>
        <v>0.02</v>
      </c>
      <c r="X10" s="364">
        <f>'Proj_FinEkonAnalize '!AA4</f>
        <v>0.02</v>
      </c>
    </row>
    <row r="11" spans="2:24" x14ac:dyDescent="0.2">
      <c r="B11" s="355" t="s">
        <v>225</v>
      </c>
      <c r="C11" s="363"/>
      <c r="D11" s="361"/>
      <c r="E11" s="361"/>
      <c r="F11" s="361"/>
      <c r="G11" s="361"/>
      <c r="H11" s="361"/>
      <c r="I11" s="361"/>
      <c r="J11" s="361"/>
      <c r="K11" s="361"/>
      <c r="L11" s="361"/>
      <c r="M11" s="361"/>
      <c r="N11" s="361"/>
      <c r="O11" s="361"/>
      <c r="P11" s="361"/>
      <c r="Q11" s="361"/>
      <c r="R11" s="361"/>
      <c r="S11" s="361"/>
      <c r="T11" s="361"/>
      <c r="U11" s="361"/>
      <c r="V11" s="361"/>
      <c r="W11" s="361"/>
      <c r="X11" s="361"/>
    </row>
    <row r="12" spans="2:24" x14ac:dyDescent="0.2">
      <c r="D12" s="361"/>
      <c r="E12" s="361"/>
      <c r="F12" s="361"/>
      <c r="G12" s="361"/>
      <c r="H12" s="361"/>
      <c r="I12" s="361"/>
      <c r="J12" s="361"/>
      <c r="K12" s="361"/>
      <c r="L12" s="361"/>
      <c r="M12" s="361"/>
      <c r="N12" s="361"/>
      <c r="O12" s="361"/>
      <c r="P12" s="361"/>
      <c r="Q12" s="361"/>
      <c r="R12" s="361"/>
      <c r="S12" s="361"/>
      <c r="T12" s="361"/>
      <c r="U12" s="361"/>
      <c r="V12" s="361"/>
      <c r="W12" s="361"/>
      <c r="X12" s="361"/>
    </row>
    <row r="13" spans="2:24" x14ac:dyDescent="0.2">
      <c r="D13" s="361"/>
      <c r="E13" s="361"/>
      <c r="F13" s="361"/>
      <c r="G13" s="361"/>
      <c r="H13" s="361"/>
      <c r="I13" s="361"/>
      <c r="J13" s="361"/>
      <c r="K13" s="361"/>
      <c r="L13" s="361"/>
      <c r="M13" s="361"/>
      <c r="N13" s="361"/>
      <c r="O13" s="361"/>
      <c r="P13" s="361"/>
      <c r="Q13" s="361"/>
      <c r="R13" s="361"/>
      <c r="S13" s="361"/>
      <c r="T13" s="361"/>
      <c r="U13" s="361"/>
      <c r="V13" s="361"/>
      <c r="W13" s="361"/>
      <c r="X13" s="361"/>
    </row>
    <row r="14" spans="2:24" x14ac:dyDescent="0.2">
      <c r="B14" s="355" t="s">
        <v>111</v>
      </c>
      <c r="D14" s="361"/>
      <c r="E14" s="361"/>
      <c r="F14" s="361"/>
      <c r="G14" s="361"/>
      <c r="H14" s="361"/>
      <c r="I14" s="361"/>
      <c r="J14" s="361"/>
      <c r="K14" s="361"/>
      <c r="L14" s="361"/>
      <c r="M14" s="361"/>
      <c r="N14" s="361"/>
      <c r="O14" s="361"/>
      <c r="P14" s="361"/>
      <c r="Q14" s="361"/>
      <c r="R14" s="361"/>
      <c r="S14" s="361"/>
      <c r="T14" s="361"/>
      <c r="U14" s="361"/>
      <c r="V14" s="361"/>
      <c r="W14" s="361"/>
      <c r="X14" s="361"/>
    </row>
    <row r="15" spans="2:24" x14ac:dyDescent="0.2">
      <c r="D15" s="361"/>
      <c r="E15" s="361"/>
      <c r="F15" s="361"/>
      <c r="G15" s="361"/>
      <c r="H15" s="361"/>
      <c r="I15" s="361"/>
      <c r="J15" s="361"/>
      <c r="K15" s="361"/>
      <c r="L15" s="361"/>
      <c r="M15" s="361"/>
      <c r="N15" s="361"/>
      <c r="O15" s="361"/>
      <c r="P15" s="361"/>
      <c r="Q15" s="361"/>
      <c r="R15" s="361"/>
      <c r="S15" s="361"/>
      <c r="T15" s="361"/>
      <c r="U15" s="361"/>
      <c r="V15" s="361"/>
      <c r="W15" s="361"/>
      <c r="X15" s="361"/>
    </row>
    <row r="16" spans="2:24" x14ac:dyDescent="0.2">
      <c r="B16" s="365" t="s">
        <v>226</v>
      </c>
      <c r="C16" s="366"/>
      <c r="D16" s="367"/>
      <c r="E16" s="367"/>
      <c r="F16" s="367"/>
      <c r="G16" s="367"/>
      <c r="H16" s="367"/>
      <c r="I16" s="367"/>
      <c r="J16" s="367"/>
      <c r="K16" s="367"/>
      <c r="L16" s="367"/>
      <c r="M16" s="367"/>
      <c r="N16" s="367"/>
      <c r="O16" s="367"/>
      <c r="P16" s="367"/>
      <c r="Q16" s="367"/>
      <c r="R16" s="367"/>
      <c r="S16" s="367"/>
      <c r="T16" s="367"/>
      <c r="U16" s="367"/>
      <c r="V16" s="367"/>
      <c r="W16" s="367"/>
      <c r="X16" s="367"/>
    </row>
    <row r="17" spans="1:24" x14ac:dyDescent="0.2">
      <c r="B17" s="368" t="s">
        <v>301</v>
      </c>
      <c r="C17" s="363"/>
      <c r="D17" s="369"/>
      <c r="E17" s="369">
        <f>'Proj_FinEkonAnalize '!H92*'Proj_FinEkonAnalize '!H123</f>
        <v>2042461.8000419165</v>
      </c>
      <c r="F17" s="369">
        <f>'Proj_FinEkonAnalize '!I92*'Proj_FinEkonAnalize '!I123</f>
        <v>2033970.5513676724</v>
      </c>
      <c r="G17" s="369">
        <f>'Proj_FinEkonAnalize '!J92*'Proj_FinEkonAnalize '!J123</f>
        <v>2025941.0526983277</v>
      </c>
      <c r="H17" s="369">
        <f>'Proj_FinEkonAnalize '!K92*'Proj_FinEkonAnalize '!K123</f>
        <v>2018368.2178742932</v>
      </c>
      <c r="I17" s="369">
        <f>'Proj_FinEkonAnalize '!L92*'Proj_FinEkonAnalize '!L123</f>
        <v>2011290.3004748465</v>
      </c>
      <c r="J17" s="369">
        <f>'Proj_FinEkonAnalize '!M92*'Proj_FinEkonAnalize '!M123</f>
        <v>2004659.3064304884</v>
      </c>
      <c r="K17" s="369">
        <f>'Proj_FinEkonAnalize '!N92*'Proj_FinEkonAnalize '!N123</f>
        <v>1998471.11145973</v>
      </c>
      <c r="L17" s="369">
        <f>'Proj_FinEkonAnalize '!O92*'Proj_FinEkonAnalize '!O123</f>
        <v>1992721.8929325382</v>
      </c>
      <c r="M17" s="369">
        <f>'Proj_FinEkonAnalize '!P92*'Proj_FinEkonAnalize '!P123</f>
        <v>1997265.9077666821</v>
      </c>
      <c r="N17" s="369">
        <f>'Proj_FinEkonAnalize '!Q92*'Proj_FinEkonAnalize '!Q123</f>
        <v>1992425.7972886937</v>
      </c>
      <c r="O17" s="369">
        <f>'Proj_FinEkonAnalize '!R92*'Proj_FinEkonAnalize '!R123</f>
        <v>1988014.4353558253</v>
      </c>
      <c r="P17" s="369">
        <f>'Proj_FinEkonAnalize '!S92*'Proj_FinEkonAnalize '!S123</f>
        <v>1984029.1478553712</v>
      </c>
      <c r="Q17" s="369">
        <f>'Proj_FinEkonAnalize '!T92*'Proj_FinEkonAnalize '!T123</f>
        <v>1985569.7214594069</v>
      </c>
      <c r="R17" s="369">
        <f>'Proj_FinEkonAnalize '!U92*'Proj_FinEkonAnalize '!U123</f>
        <v>1987394.9318004348</v>
      </c>
      <c r="S17" s="369">
        <f>'Proj_FinEkonAnalize '!V92*'Proj_FinEkonAnalize '!V123</f>
        <v>1989547.2560805171</v>
      </c>
      <c r="T17" s="369">
        <f>'Proj_FinEkonAnalize '!W92*'Proj_FinEkonAnalize '!W123</f>
        <v>1991986.9409161848</v>
      </c>
      <c r="U17" s="369">
        <f>'Proj_FinEkonAnalize '!X92*'Proj_FinEkonAnalize '!X123</f>
        <v>1994715.6163374935</v>
      </c>
      <c r="V17" s="369">
        <f>'Proj_FinEkonAnalize '!Y92*'Proj_FinEkonAnalize '!Y123</f>
        <v>1997735.088174213</v>
      </c>
      <c r="W17" s="369">
        <f>'Proj_FinEkonAnalize '!Z92*'Proj_FinEkonAnalize '!Z123</f>
        <v>2027445.3345653412</v>
      </c>
      <c r="X17" s="369">
        <f>'Proj_FinEkonAnalize '!AA92*'Proj_FinEkonAnalize '!AA123</f>
        <v>1869019.6347385095</v>
      </c>
    </row>
    <row r="18" spans="1:24" x14ac:dyDescent="0.2">
      <c r="B18" s="370"/>
      <c r="C18" s="363"/>
      <c r="D18" s="361"/>
      <c r="E18" s="361"/>
      <c r="F18" s="361"/>
      <c r="G18" s="361"/>
      <c r="H18" s="361"/>
      <c r="I18" s="361"/>
      <c r="J18" s="361"/>
      <c r="K18" s="361"/>
      <c r="L18" s="361"/>
      <c r="M18" s="361"/>
      <c r="N18" s="361"/>
      <c r="O18" s="361"/>
      <c r="P18" s="361"/>
      <c r="Q18" s="361"/>
      <c r="R18" s="361"/>
      <c r="S18" s="361"/>
      <c r="T18" s="361"/>
      <c r="U18" s="361"/>
      <c r="V18" s="361"/>
      <c r="W18" s="361"/>
      <c r="X18" s="361"/>
    </row>
    <row r="19" spans="1:24" x14ac:dyDescent="0.2">
      <c r="B19" s="370"/>
      <c r="C19" s="363"/>
      <c r="D19" s="371"/>
      <c r="E19" s="371"/>
      <c r="F19" s="371"/>
      <c r="G19" s="371"/>
      <c r="H19" s="371"/>
      <c r="I19" s="371"/>
      <c r="J19" s="371"/>
      <c r="K19" s="371"/>
      <c r="L19" s="371"/>
      <c r="M19" s="371"/>
      <c r="N19" s="371"/>
      <c r="O19" s="371"/>
      <c r="P19" s="371"/>
      <c r="Q19" s="371"/>
      <c r="R19" s="371"/>
      <c r="S19" s="371"/>
      <c r="T19" s="371"/>
      <c r="U19" s="371"/>
      <c r="V19" s="371"/>
      <c r="W19" s="371"/>
      <c r="X19" s="371"/>
    </row>
    <row r="20" spans="1:24" x14ac:dyDescent="0.2">
      <c r="B20" s="368" t="s">
        <v>300</v>
      </c>
      <c r="C20" s="363"/>
      <c r="D20" s="369"/>
      <c r="E20" s="369">
        <f>'Proj_FinEkonAnalize '!H91*'Proj_FinEkonAnalize '!H123</f>
        <v>217405.5134995738</v>
      </c>
      <c r="F20" s="369">
        <f>'Proj_FinEkonAnalize '!I91*'Proj_FinEkonAnalize '!I123</f>
        <v>216501.6805474771</v>
      </c>
      <c r="G20" s="369">
        <f>'Proj_FinEkonAnalize '!J91*'Proj_FinEkonAnalize '!J123</f>
        <v>215646.99759511187</v>
      </c>
      <c r="H20" s="369">
        <f>'Proj_FinEkonAnalize '!K91*'Proj_FinEkonAnalize '!K123</f>
        <v>214840.92325701026</v>
      </c>
      <c r="I20" s="369">
        <f>'Proj_FinEkonAnalize '!L91*'Proj_FinEkonAnalize '!L123</f>
        <v>214087.5293542686</v>
      </c>
      <c r="J20" s="369">
        <f>'Proj_FinEkonAnalize '!M91*'Proj_FinEkonAnalize '!M123</f>
        <v>213381.70725997203</v>
      </c>
      <c r="K20" s="369">
        <f>'Proj_FinEkonAnalize '!N91*'Proj_FinEkonAnalize '!N123</f>
        <v>212723.01797372656</v>
      </c>
      <c r="L20" s="369">
        <f>'Proj_FinEkonAnalize '!O91*'Proj_FinEkonAnalize '!O123</f>
        <v>212111.05460378755</v>
      </c>
      <c r="M20" s="369">
        <f>'Proj_FinEkonAnalize '!P91*'Proj_FinEkonAnalize '!P123</f>
        <v>212594.73262329641</v>
      </c>
      <c r="N20" s="369">
        <f>'Proj_FinEkonAnalize '!Q91*'Proj_FinEkonAnalize '!Q123</f>
        <v>212079.53733110536</v>
      </c>
      <c r="O20" s="369">
        <f>'Proj_FinEkonAnalize '!R91*'Proj_FinEkonAnalize '!R123</f>
        <v>211609.97926826763</v>
      </c>
      <c r="P20" s="369">
        <f>'Proj_FinEkonAnalize '!S91*'Proj_FinEkonAnalize '!S123</f>
        <v>211185.77379452909</v>
      </c>
      <c r="Q20" s="369">
        <f>'Proj_FinEkonAnalize '!T91*'Proj_FinEkonAnalize '!T123</f>
        <v>211349.75688369258</v>
      </c>
      <c r="R20" s="369">
        <f>'Proj_FinEkonAnalize '!U91*'Proj_FinEkonAnalize '!U123</f>
        <v>211544.0375265069</v>
      </c>
      <c r="S20" s="369">
        <f>'Proj_FinEkonAnalize '!V91*'Proj_FinEkonAnalize '!V123</f>
        <v>211773.13711863599</v>
      </c>
      <c r="T20" s="369">
        <f>'Proj_FinEkonAnalize '!W91*'Proj_FinEkonAnalize '!W123</f>
        <v>212032.82419550794</v>
      </c>
      <c r="U20" s="369">
        <f>'Proj_FinEkonAnalize '!X91*'Proj_FinEkonAnalize '!X123</f>
        <v>212323.27226221407</v>
      </c>
      <c r="V20" s="369">
        <f>'Proj_FinEkonAnalize '!Y91*'Proj_FinEkonAnalize '!Y123</f>
        <v>212644.67353647342</v>
      </c>
      <c r="W20" s="369">
        <f>'Proj_FinEkonAnalize '!Z91*'Proj_FinEkonAnalize '!Z123</f>
        <v>215807.11768731603</v>
      </c>
      <c r="X20" s="369">
        <f>'Proj_FinEkonAnalize '!AA91*'Proj_FinEkonAnalize '!AA123</f>
        <v>198943.83014789922</v>
      </c>
    </row>
    <row r="21" spans="1:24" x14ac:dyDescent="0.2">
      <c r="B21" s="370"/>
      <c r="C21" s="363"/>
      <c r="D21" s="361"/>
      <c r="E21" s="361"/>
      <c r="F21" s="361"/>
      <c r="G21" s="361"/>
      <c r="H21" s="361"/>
      <c r="I21" s="361"/>
      <c r="J21" s="361"/>
      <c r="K21" s="361"/>
      <c r="L21" s="361"/>
      <c r="M21" s="361"/>
      <c r="N21" s="361"/>
      <c r="O21" s="361"/>
      <c r="P21" s="361"/>
      <c r="Q21" s="361"/>
      <c r="R21" s="361"/>
      <c r="S21" s="361"/>
      <c r="T21" s="361"/>
      <c r="U21" s="361"/>
      <c r="V21" s="361"/>
      <c r="W21" s="361"/>
      <c r="X21" s="361"/>
    </row>
    <row r="22" spans="1:24" x14ac:dyDescent="0.2">
      <c r="B22" s="370"/>
      <c r="C22" s="363"/>
      <c r="D22" s="361"/>
      <c r="E22" s="361"/>
      <c r="F22" s="361"/>
      <c r="G22" s="361"/>
      <c r="H22" s="361"/>
      <c r="I22" s="361"/>
      <c r="J22" s="361"/>
      <c r="K22" s="361"/>
      <c r="L22" s="361"/>
      <c r="M22" s="361"/>
      <c r="N22" s="361"/>
      <c r="O22" s="361"/>
      <c r="P22" s="361"/>
      <c r="Q22" s="361"/>
      <c r="R22" s="361"/>
      <c r="S22" s="361"/>
      <c r="T22" s="361"/>
      <c r="U22" s="361"/>
      <c r="V22" s="361"/>
      <c r="W22" s="361"/>
      <c r="X22" s="361"/>
    </row>
    <row r="23" spans="1:24" x14ac:dyDescent="0.2">
      <c r="B23" s="368" t="s">
        <v>111</v>
      </c>
      <c r="C23" s="363"/>
      <c r="D23" s="369"/>
      <c r="E23" s="369"/>
      <c r="F23" s="369"/>
      <c r="G23" s="369"/>
      <c r="H23" s="369"/>
      <c r="I23" s="369"/>
      <c r="J23" s="369"/>
      <c r="K23" s="369"/>
      <c r="L23" s="369"/>
      <c r="M23" s="369"/>
      <c r="N23" s="369"/>
      <c r="O23" s="369"/>
      <c r="P23" s="369"/>
      <c r="Q23" s="369"/>
      <c r="R23" s="369"/>
      <c r="S23" s="369"/>
      <c r="T23" s="369"/>
      <c r="U23" s="369"/>
      <c r="V23" s="369"/>
      <c r="W23" s="369"/>
      <c r="X23" s="369"/>
    </row>
    <row r="24" spans="1:24" x14ac:dyDescent="0.2">
      <c r="D24" s="361"/>
      <c r="E24" s="361"/>
      <c r="F24" s="361"/>
      <c r="G24" s="361"/>
      <c r="H24" s="361"/>
      <c r="I24" s="361"/>
      <c r="J24" s="361"/>
      <c r="K24" s="361"/>
      <c r="L24" s="361"/>
      <c r="M24" s="361"/>
      <c r="N24" s="361"/>
      <c r="O24" s="361"/>
      <c r="P24" s="361"/>
      <c r="Q24" s="361"/>
      <c r="R24" s="361"/>
      <c r="S24" s="361"/>
      <c r="T24" s="361"/>
      <c r="U24" s="361"/>
      <c r="V24" s="361"/>
      <c r="W24" s="361"/>
      <c r="X24" s="361"/>
    </row>
    <row r="25" spans="1:24" x14ac:dyDescent="0.2">
      <c r="B25" s="365" t="s">
        <v>227</v>
      </c>
      <c r="C25" s="366"/>
      <c r="D25" s="367"/>
      <c r="E25" s="367"/>
      <c r="F25" s="367"/>
      <c r="G25" s="367"/>
      <c r="H25" s="367"/>
      <c r="I25" s="367"/>
      <c r="J25" s="367"/>
      <c r="K25" s="367"/>
      <c r="L25" s="367"/>
      <c r="M25" s="367"/>
      <c r="N25" s="367"/>
      <c r="O25" s="367"/>
      <c r="P25" s="367"/>
      <c r="Q25" s="367"/>
      <c r="R25" s="367"/>
      <c r="S25" s="367"/>
      <c r="T25" s="367"/>
      <c r="U25" s="367"/>
      <c r="V25" s="367"/>
      <c r="W25" s="367"/>
      <c r="X25" s="367"/>
    </row>
    <row r="26" spans="1:24" x14ac:dyDescent="0.2">
      <c r="A26" s="355" t="s">
        <v>318</v>
      </c>
      <c r="B26" s="362" t="s">
        <v>149</v>
      </c>
    </row>
    <row r="27" spans="1:24" x14ac:dyDescent="0.2">
      <c r="A27" s="372">
        <v>0</v>
      </c>
      <c r="B27" s="368" t="s">
        <v>177</v>
      </c>
      <c r="C27" s="363"/>
      <c r="D27" s="373">
        <f>-('Proj_FinEkonAnalize '!G98+'Proj_FinEkonAnalize '!G99)*1000*(1+$A$27)</f>
        <v>-7171204.8486399995</v>
      </c>
      <c r="E27" s="373">
        <f>-('Proj_FinEkonAnalize '!H98+'Proj_FinEkonAnalize '!H99)*1000*(1+$A$27)</f>
        <v>-61891.489414348798</v>
      </c>
      <c r="F27" s="373">
        <f>-('Proj_FinEkonAnalize '!I98+'Proj_FinEkonAnalize '!I99)*1000*(1+$A$27)</f>
        <v>-62271.410692050122</v>
      </c>
      <c r="G27" s="373">
        <f>-('Proj_FinEkonAnalize '!J98+'Proj_FinEkonAnalize '!J99)*1000*(1+$A$27)</f>
        <v>-62659.310316583171</v>
      </c>
      <c r="H27" s="373">
        <f>-('Proj_FinEkonAnalize '!K98+'Proj_FinEkonAnalize '!K99)*1000*(1+$A$27)</f>
        <v>-63055.355833231413</v>
      </c>
      <c r="I27" s="373">
        <f>-('Proj_FinEkonAnalize '!L98+'Proj_FinEkonAnalize '!L99)*1000*(1+$A$27)</f>
        <v>-63459.718305729286</v>
      </c>
      <c r="J27" s="373">
        <f>-('Proj_FinEkonAnalize '!M98+'Proj_FinEkonAnalize '!M99)*1000*(1+$A$27)</f>
        <v>-63872.572390149588</v>
      </c>
      <c r="K27" s="373">
        <f>-('Proj_FinEkonAnalize '!N98+'Proj_FinEkonAnalize '!N99)*1000*(1+$A$27)</f>
        <v>-64294.096410342732</v>
      </c>
      <c r="L27" s="373">
        <f>-('Proj_FinEkonAnalize '!O98+'Proj_FinEkonAnalize '!O99)*1000*(1+$A$27)</f>
        <v>-64724.47243495992</v>
      </c>
      <c r="M27" s="373">
        <f>-('Proj_FinEkonAnalize '!P98+'Proj_FinEkonAnalize '!P99)*1000*(1+$A$27)</f>
        <v>-282376.84087640763</v>
      </c>
      <c r="N27" s="373">
        <f>-('Proj_FinEkonAnalize '!Q98+'Proj_FinEkonAnalize '!Q99)*1000*(1+$A$27)</f>
        <v>-65612.527969572053</v>
      </c>
      <c r="O27" s="373">
        <f>-('Proj_FinEkonAnalize '!R98+'Proj_FinEkonAnalize '!R99)*1000*(1+$A$27)</f>
        <v>-66070.591056933074</v>
      </c>
      <c r="P27" s="373">
        <f>-('Proj_FinEkonAnalize '!S98+'Proj_FinEkonAnalize '!S99)*1000*(1+$A$27)</f>
        <v>-66538.273469128661</v>
      </c>
      <c r="Q27" s="373">
        <f>-('Proj_FinEkonAnalize '!T98+'Proj_FinEkonAnalize '!T99)*1000*(1+$A$27)</f>
        <v>-67015.77721198037</v>
      </c>
      <c r="R27" s="373">
        <f>-('Proj_FinEkonAnalize '!U98+'Proj_FinEkonAnalize '!U99)*1000*(1+$A$27)</f>
        <v>-67503.308533431948</v>
      </c>
      <c r="S27" s="373">
        <f>-('Proj_FinEkonAnalize '!V98+'Proj_FinEkonAnalize '!V99)*1000*(1+$A$27)</f>
        <v>-68001.078012634025</v>
      </c>
      <c r="T27" s="373">
        <f>-('Proj_FinEkonAnalize '!W98+'Proj_FinEkonAnalize '!W99)*1000*(1+$A$27)</f>
        <v>-68509.300650899313</v>
      </c>
      <c r="U27" s="373">
        <f>-('Proj_FinEkonAnalize '!X98+'Proj_FinEkonAnalize '!X99)*1000*(1+$A$27)</f>
        <v>-69028.195964568207</v>
      </c>
      <c r="V27" s="373">
        <f>-('Proj_FinEkonAnalize '!Y98+'Proj_FinEkonAnalize '!Y99)*1000*(1+$A$27)</f>
        <v>-69557.988079824136</v>
      </c>
      <c r="W27" s="373">
        <f>-('Proj_FinEkonAnalize '!Z98+'Proj_FinEkonAnalize '!Z99)*1000*(1+$A$27)</f>
        <v>-654256.45440867078</v>
      </c>
      <c r="X27" s="373">
        <f>-('Proj_FinEkonAnalize '!AA98+'Proj_FinEkonAnalize '!AA99)*1000*(1+$A$27)</f>
        <v>-70651.182851919963</v>
      </c>
    </row>
    <row r="28" spans="1:24" x14ac:dyDescent="0.2">
      <c r="B28" s="370"/>
      <c r="C28" s="363"/>
      <c r="D28" s="361"/>
      <c r="E28" s="361"/>
      <c r="F28" s="361"/>
      <c r="G28" s="361"/>
      <c r="H28" s="361"/>
      <c r="I28" s="361"/>
      <c r="J28" s="361"/>
      <c r="K28" s="361"/>
      <c r="L28" s="361"/>
      <c r="M28" s="361"/>
      <c r="N28" s="361"/>
      <c r="O28" s="361"/>
      <c r="P28" s="361"/>
      <c r="Q28" s="361"/>
      <c r="R28" s="361"/>
      <c r="S28" s="361"/>
      <c r="T28" s="361"/>
      <c r="U28" s="361"/>
      <c r="V28" s="361"/>
      <c r="W28" s="361"/>
      <c r="X28" s="361"/>
    </row>
    <row r="29" spans="1:24" hidden="1" outlineLevel="1" x14ac:dyDescent="0.2">
      <c r="B29" s="370"/>
      <c r="C29" s="363"/>
      <c r="D29" s="361"/>
      <c r="E29" s="361"/>
      <c r="F29" s="361"/>
      <c r="G29" s="361"/>
      <c r="H29" s="361"/>
      <c r="I29" s="361"/>
      <c r="J29" s="361"/>
      <c r="K29" s="361"/>
      <c r="L29" s="361"/>
      <c r="M29" s="361"/>
      <c r="N29" s="361"/>
      <c r="O29" s="361"/>
      <c r="P29" s="361"/>
      <c r="Q29" s="361"/>
      <c r="R29" s="361"/>
      <c r="S29" s="361"/>
      <c r="T29" s="361"/>
      <c r="U29" s="361"/>
      <c r="V29" s="361"/>
      <c r="W29" s="361"/>
      <c r="X29" s="361"/>
    </row>
    <row r="30" spans="1:24" hidden="1" outlineLevel="1" x14ac:dyDescent="0.2">
      <c r="B30" s="368" t="s">
        <v>178</v>
      </c>
      <c r="C30" s="363"/>
      <c r="D30" s="369"/>
      <c r="E30" s="369"/>
      <c r="F30" s="369"/>
      <c r="G30" s="369"/>
      <c r="H30" s="369"/>
      <c r="I30" s="369"/>
      <c r="J30" s="369"/>
      <c r="K30" s="369"/>
      <c r="L30" s="369"/>
      <c r="M30" s="369"/>
      <c r="N30" s="369"/>
      <c r="O30" s="369"/>
      <c r="P30" s="369"/>
      <c r="Q30" s="369"/>
      <c r="R30" s="369"/>
      <c r="S30" s="369"/>
      <c r="T30" s="369"/>
      <c r="U30" s="369"/>
      <c r="V30" s="369"/>
      <c r="W30" s="369"/>
      <c r="X30" s="369"/>
    </row>
    <row r="31" spans="1:24" hidden="1" outlineLevel="1" x14ac:dyDescent="0.2">
      <c r="B31" s="370"/>
      <c r="C31" s="363"/>
      <c r="D31" s="361"/>
      <c r="E31" s="361"/>
      <c r="F31" s="361"/>
      <c r="G31" s="361"/>
      <c r="H31" s="361"/>
      <c r="I31" s="361"/>
      <c r="J31" s="361"/>
      <c r="K31" s="361"/>
      <c r="L31" s="361"/>
      <c r="M31" s="361"/>
      <c r="N31" s="361"/>
      <c r="O31" s="361"/>
      <c r="P31" s="361"/>
      <c r="Q31" s="361"/>
      <c r="R31" s="361"/>
      <c r="S31" s="361"/>
      <c r="T31" s="361"/>
      <c r="U31" s="361"/>
      <c r="V31" s="361"/>
      <c r="W31" s="361"/>
      <c r="X31" s="361"/>
    </row>
    <row r="32" spans="1:24" hidden="1" outlineLevel="1" x14ac:dyDescent="0.2">
      <c r="B32" s="370"/>
      <c r="C32" s="363"/>
      <c r="D32" s="361"/>
      <c r="E32" s="361"/>
      <c r="F32" s="361"/>
      <c r="G32" s="361"/>
      <c r="H32" s="361"/>
      <c r="I32" s="361"/>
      <c r="J32" s="361"/>
      <c r="K32" s="361"/>
      <c r="L32" s="361"/>
      <c r="M32" s="361"/>
      <c r="N32" s="361"/>
      <c r="O32" s="361"/>
      <c r="P32" s="361"/>
      <c r="Q32" s="361"/>
      <c r="R32" s="361"/>
      <c r="S32" s="361"/>
      <c r="T32" s="361"/>
      <c r="U32" s="361"/>
      <c r="V32" s="361"/>
      <c r="W32" s="361"/>
      <c r="X32" s="361"/>
    </row>
    <row r="33" spans="1:24" hidden="1" outlineLevel="1" x14ac:dyDescent="0.2">
      <c r="B33" s="368" t="s">
        <v>179</v>
      </c>
      <c r="C33" s="363"/>
      <c r="D33" s="369"/>
      <c r="E33" s="369"/>
      <c r="F33" s="369"/>
      <c r="G33" s="369"/>
      <c r="H33" s="369"/>
      <c r="I33" s="369"/>
      <c r="J33" s="369"/>
      <c r="K33" s="369"/>
      <c r="L33" s="369"/>
      <c r="M33" s="369"/>
      <c r="N33" s="369"/>
      <c r="O33" s="369"/>
      <c r="P33" s="369"/>
      <c r="Q33" s="369"/>
      <c r="R33" s="369"/>
      <c r="S33" s="369"/>
      <c r="T33" s="369"/>
      <c r="U33" s="369"/>
      <c r="V33" s="369"/>
      <c r="W33" s="369"/>
      <c r="X33" s="369"/>
    </row>
    <row r="34" spans="1:24" hidden="1" outlineLevel="1" x14ac:dyDescent="0.2">
      <c r="B34" s="370"/>
      <c r="C34" s="363"/>
      <c r="D34" s="361"/>
      <c r="E34" s="361"/>
      <c r="F34" s="361"/>
      <c r="G34" s="361"/>
      <c r="H34" s="361"/>
      <c r="I34" s="361"/>
      <c r="J34" s="361"/>
      <c r="K34" s="361"/>
      <c r="L34" s="361"/>
      <c r="M34" s="361"/>
      <c r="N34" s="361"/>
      <c r="O34" s="361"/>
      <c r="P34" s="361"/>
      <c r="Q34" s="361"/>
      <c r="R34" s="361"/>
      <c r="S34" s="361"/>
      <c r="T34" s="361"/>
      <c r="U34" s="361"/>
      <c r="V34" s="361"/>
      <c r="W34" s="361"/>
      <c r="X34" s="361"/>
    </row>
    <row r="35" spans="1:24" hidden="1" outlineLevel="1" x14ac:dyDescent="0.2">
      <c r="B35" s="370"/>
      <c r="C35" s="363"/>
      <c r="D35" s="361"/>
      <c r="E35" s="361"/>
      <c r="F35" s="361"/>
      <c r="G35" s="361"/>
      <c r="H35" s="361"/>
      <c r="I35" s="361"/>
      <c r="J35" s="361"/>
      <c r="K35" s="361"/>
      <c r="L35" s="361"/>
      <c r="M35" s="361"/>
      <c r="N35" s="361"/>
      <c r="O35" s="361"/>
      <c r="P35" s="361"/>
      <c r="Q35" s="361"/>
      <c r="R35" s="361"/>
      <c r="S35" s="361"/>
      <c r="T35" s="361"/>
      <c r="U35" s="361"/>
      <c r="V35" s="361"/>
      <c r="W35" s="361"/>
      <c r="X35" s="361"/>
    </row>
    <row r="36" spans="1:24" hidden="1" outlineLevel="1" x14ac:dyDescent="0.2">
      <c r="B36" s="368" t="s">
        <v>111</v>
      </c>
      <c r="C36" s="363"/>
      <c r="D36" s="369"/>
      <c r="E36" s="369"/>
      <c r="F36" s="369"/>
      <c r="G36" s="369"/>
      <c r="H36" s="369"/>
      <c r="I36" s="369"/>
      <c r="J36" s="369"/>
      <c r="K36" s="369"/>
      <c r="L36" s="369"/>
      <c r="M36" s="369"/>
      <c r="N36" s="369"/>
      <c r="O36" s="369"/>
      <c r="P36" s="369"/>
      <c r="Q36" s="369"/>
      <c r="R36" s="369"/>
      <c r="S36" s="369"/>
      <c r="T36" s="369"/>
      <c r="U36" s="369"/>
      <c r="V36" s="369"/>
      <c r="W36" s="369"/>
      <c r="X36" s="369"/>
    </row>
    <row r="37" spans="1:24" collapsed="1" x14ac:dyDescent="0.2">
      <c r="B37" s="362" t="s">
        <v>150</v>
      </c>
    </row>
    <row r="38" spans="1:24" x14ac:dyDescent="0.2">
      <c r="B38" s="374" t="s">
        <v>151</v>
      </c>
    </row>
    <row r="39" spans="1:24" x14ac:dyDescent="0.2">
      <c r="A39" s="372">
        <v>0</v>
      </c>
      <c r="B39" s="368" t="s">
        <v>180</v>
      </c>
      <c r="C39" s="363"/>
      <c r="D39" s="369"/>
      <c r="E39" s="369">
        <f>-'Proj_FinEkonAnalize '!H121*(1+$A$39)</f>
        <v>-1754603.4716821313</v>
      </c>
      <c r="F39" s="369">
        <f>-'Proj_FinEkonAnalize '!I121*(1+$A$39)</f>
        <v>-1743651.6047884894</v>
      </c>
      <c r="G39" s="369">
        <f>-'Proj_FinEkonAnalize '!J121*(1+$A$39)</f>
        <v>-1733200.940408865</v>
      </c>
      <c r="H39" s="369">
        <f>-'Proj_FinEkonAnalize '!K121*(1+$A$39)</f>
        <v>-1723245.6473508985</v>
      </c>
      <c r="I39" s="369">
        <f>-'Proj_FinEkonAnalize '!L121*(1+$A$39)</f>
        <v>-1713827.8430910665</v>
      </c>
      <c r="J39" s="369">
        <f>-'Proj_FinEkonAnalize '!M121*(1+$A$39)</f>
        <v>-1704894.212642658</v>
      </c>
      <c r="K39" s="369">
        <f>-'Proj_FinEkonAnalize '!N121*(1+$A$39)</f>
        <v>-1696439.9759753956</v>
      </c>
      <c r="L39" s="369">
        <f>-'Proj_FinEkonAnalize '!O121*(1+$A$39)</f>
        <v>-1688460.6822673907</v>
      </c>
      <c r="M39" s="369">
        <f>-'Proj_FinEkonAnalize '!P121*(1+$A$39)</f>
        <v>-1680998.6302361256</v>
      </c>
      <c r="N39" s="369">
        <f>-'Proj_FinEkonAnalize '!Q121*(1+$A$39)</f>
        <v>-1674003.011266707</v>
      </c>
      <c r="O39" s="369">
        <f>-'Proj_FinEkonAnalize '!R121*(1+$A$39)</f>
        <v>-1667470.3264945778</v>
      </c>
      <c r="P39" s="369">
        <f>-'Proj_FinEkonAnalize '!S121*(1+$A$39)</f>
        <v>-1661397.3766836566</v>
      </c>
      <c r="Q39" s="369">
        <f>-'Proj_FinEkonAnalize '!T121*(1+$A$39)</f>
        <v>-1661426.5389465566</v>
      </c>
      <c r="R39" s="369">
        <f>-'Proj_FinEkonAnalize '!U121*(1+$A$39)</f>
        <v>-1661758.4472170626</v>
      </c>
      <c r="S39" s="369">
        <f>-'Proj_FinEkonAnalize '!V121*(1+$A$39)</f>
        <v>-1662439.8441389585</v>
      </c>
      <c r="T39" s="369">
        <f>-'Proj_FinEkonAnalize '!W121*(1+$A$39)</f>
        <v>-1663426.4835352255</v>
      </c>
      <c r="U39" s="369">
        <f>-'Proj_FinEkonAnalize '!X121*(1+$A$39)</f>
        <v>-1664719.9021241262</v>
      </c>
      <c r="V39" s="369">
        <f>-'Proj_FinEkonAnalize '!Y121*(1+$A$39)</f>
        <v>-1666321.8255331095</v>
      </c>
      <c r="W39" s="369">
        <f>-'Proj_FinEkonAnalize '!Z121*(1+$A$39)</f>
        <v>-1668234.1660003839</v>
      </c>
      <c r="X39" s="369">
        <f>-'Proj_FinEkonAnalize '!AA121*(1+$A$39)</f>
        <v>-1670459.0202788373</v>
      </c>
    </row>
    <row r="40" spans="1:24" x14ac:dyDescent="0.2">
      <c r="B40" s="370"/>
      <c r="C40" s="363"/>
      <c r="D40" s="361"/>
      <c r="E40" s="361"/>
      <c r="F40" s="361"/>
      <c r="G40" s="361"/>
      <c r="H40" s="361"/>
      <c r="I40" s="361"/>
      <c r="J40" s="361"/>
      <c r="K40" s="361"/>
      <c r="L40" s="361"/>
      <c r="M40" s="361"/>
      <c r="N40" s="361"/>
      <c r="O40" s="361"/>
      <c r="P40" s="361"/>
      <c r="Q40" s="361"/>
      <c r="R40" s="361"/>
      <c r="S40" s="361"/>
      <c r="T40" s="361"/>
      <c r="U40" s="361"/>
      <c r="V40" s="361"/>
      <c r="W40" s="361"/>
      <c r="X40" s="361"/>
    </row>
    <row r="41" spans="1:24" hidden="1" outlineLevel="1" x14ac:dyDescent="0.2">
      <c r="B41" s="370"/>
      <c r="C41" s="363"/>
      <c r="D41" s="361"/>
      <c r="E41" s="361"/>
      <c r="F41" s="361"/>
      <c r="G41" s="361"/>
      <c r="H41" s="361"/>
      <c r="I41" s="361"/>
      <c r="J41" s="361"/>
      <c r="K41" s="361"/>
      <c r="L41" s="361"/>
      <c r="M41" s="361"/>
      <c r="N41" s="361"/>
      <c r="O41" s="361"/>
      <c r="P41" s="361"/>
      <c r="Q41" s="361"/>
      <c r="R41" s="361"/>
      <c r="S41" s="361"/>
      <c r="T41" s="361"/>
      <c r="U41" s="361"/>
      <c r="V41" s="361"/>
      <c r="W41" s="361"/>
      <c r="X41" s="361"/>
    </row>
    <row r="42" spans="1:24" hidden="1" outlineLevel="1" x14ac:dyDescent="0.2">
      <c r="B42" s="368" t="s">
        <v>181</v>
      </c>
      <c r="C42" s="363"/>
      <c r="D42" s="369"/>
      <c r="E42" s="369"/>
      <c r="F42" s="369"/>
      <c r="G42" s="369"/>
      <c r="H42" s="369"/>
      <c r="I42" s="369"/>
      <c r="J42" s="369"/>
      <c r="K42" s="369"/>
      <c r="L42" s="369"/>
      <c r="M42" s="369"/>
      <c r="N42" s="369"/>
      <c r="O42" s="369"/>
      <c r="P42" s="369"/>
      <c r="Q42" s="369"/>
      <c r="R42" s="369"/>
      <c r="S42" s="369"/>
      <c r="T42" s="369"/>
      <c r="U42" s="369"/>
      <c r="V42" s="369"/>
      <c r="W42" s="369"/>
      <c r="X42" s="369"/>
    </row>
    <row r="43" spans="1:24" hidden="1" outlineLevel="1" x14ac:dyDescent="0.2">
      <c r="B43" s="370"/>
      <c r="C43" s="363"/>
      <c r="D43" s="361"/>
      <c r="E43" s="361"/>
      <c r="F43" s="361"/>
      <c r="G43" s="361"/>
      <c r="H43" s="361"/>
      <c r="I43" s="361"/>
      <c r="J43" s="361"/>
      <c r="K43" s="361"/>
      <c r="L43" s="361"/>
      <c r="M43" s="361"/>
      <c r="N43" s="361"/>
      <c r="O43" s="361"/>
      <c r="P43" s="361"/>
      <c r="Q43" s="361"/>
      <c r="R43" s="361"/>
      <c r="S43" s="361"/>
      <c r="T43" s="361"/>
      <c r="U43" s="361"/>
      <c r="V43" s="361"/>
      <c r="W43" s="361"/>
      <c r="X43" s="361"/>
    </row>
    <row r="44" spans="1:24" hidden="1" outlineLevel="1" x14ac:dyDescent="0.2">
      <c r="B44" s="370"/>
      <c r="C44" s="363"/>
      <c r="D44" s="361"/>
      <c r="E44" s="361"/>
      <c r="F44" s="361"/>
      <c r="G44" s="361"/>
      <c r="H44" s="361"/>
      <c r="I44" s="361"/>
      <c r="J44" s="361"/>
      <c r="K44" s="361"/>
      <c r="L44" s="361"/>
      <c r="M44" s="361"/>
      <c r="N44" s="361"/>
      <c r="O44" s="361"/>
      <c r="P44" s="361"/>
      <c r="Q44" s="361"/>
      <c r="R44" s="361"/>
      <c r="S44" s="361"/>
      <c r="T44" s="361"/>
      <c r="U44" s="361"/>
      <c r="V44" s="361"/>
      <c r="W44" s="361"/>
      <c r="X44" s="361"/>
    </row>
    <row r="45" spans="1:24" hidden="1" outlineLevel="1" x14ac:dyDescent="0.2">
      <c r="B45" s="368" t="s">
        <v>182</v>
      </c>
      <c r="C45" s="363"/>
      <c r="D45" s="369"/>
      <c r="E45" s="369"/>
      <c r="F45" s="369"/>
      <c r="G45" s="369"/>
      <c r="H45" s="369"/>
      <c r="I45" s="369"/>
      <c r="J45" s="369"/>
      <c r="K45" s="369"/>
      <c r="L45" s="369"/>
      <c r="M45" s="369"/>
      <c r="N45" s="369"/>
      <c r="O45" s="369"/>
      <c r="P45" s="369"/>
      <c r="Q45" s="369"/>
      <c r="R45" s="369"/>
      <c r="S45" s="369"/>
      <c r="T45" s="369"/>
      <c r="U45" s="369"/>
      <c r="V45" s="369"/>
      <c r="W45" s="369"/>
      <c r="X45" s="369"/>
    </row>
    <row r="46" spans="1:24" hidden="1" outlineLevel="1" x14ac:dyDescent="0.2">
      <c r="B46" s="370"/>
      <c r="C46" s="363"/>
      <c r="D46" s="361"/>
      <c r="E46" s="361"/>
      <c r="F46" s="361"/>
      <c r="G46" s="361"/>
      <c r="H46" s="361"/>
      <c r="I46" s="361"/>
      <c r="J46" s="361"/>
      <c r="K46" s="361"/>
      <c r="L46" s="361"/>
      <c r="M46" s="361"/>
      <c r="N46" s="361"/>
      <c r="O46" s="361"/>
      <c r="P46" s="361"/>
      <c r="Q46" s="361"/>
      <c r="R46" s="361"/>
      <c r="S46" s="361"/>
      <c r="T46" s="361"/>
      <c r="U46" s="361"/>
      <c r="V46" s="361"/>
      <c r="W46" s="361"/>
      <c r="X46" s="361"/>
    </row>
    <row r="47" spans="1:24" hidden="1" outlineLevel="1" x14ac:dyDescent="0.2">
      <c r="B47" s="370"/>
      <c r="C47" s="363"/>
      <c r="D47" s="361"/>
      <c r="E47" s="361"/>
      <c r="F47" s="361"/>
      <c r="G47" s="361"/>
      <c r="H47" s="361"/>
      <c r="I47" s="361"/>
      <c r="J47" s="361"/>
      <c r="K47" s="361"/>
      <c r="L47" s="361"/>
      <c r="M47" s="361"/>
      <c r="N47" s="361"/>
      <c r="O47" s="361"/>
      <c r="P47" s="361"/>
      <c r="Q47" s="361"/>
      <c r="R47" s="361"/>
      <c r="S47" s="361"/>
      <c r="T47" s="361"/>
      <c r="U47" s="361"/>
      <c r="V47" s="361"/>
      <c r="W47" s="361"/>
      <c r="X47" s="361"/>
    </row>
    <row r="48" spans="1:24" hidden="1" outlineLevel="1" x14ac:dyDescent="0.2">
      <c r="B48" s="368" t="s">
        <v>111</v>
      </c>
      <c r="C48" s="363"/>
      <c r="D48" s="369"/>
      <c r="E48" s="369"/>
      <c r="F48" s="369"/>
      <c r="G48" s="369"/>
      <c r="H48" s="369"/>
      <c r="I48" s="369"/>
      <c r="J48" s="369"/>
      <c r="K48" s="369"/>
      <c r="L48" s="369"/>
      <c r="M48" s="369"/>
      <c r="N48" s="369"/>
      <c r="O48" s="369"/>
      <c r="P48" s="369"/>
      <c r="Q48" s="369"/>
      <c r="R48" s="369"/>
      <c r="S48" s="369"/>
      <c r="T48" s="369"/>
      <c r="U48" s="369"/>
      <c r="V48" s="369"/>
      <c r="W48" s="369"/>
      <c r="X48" s="369"/>
    </row>
    <row r="49" spans="2:24" collapsed="1" x14ac:dyDescent="0.2">
      <c r="B49" s="374" t="s">
        <v>152</v>
      </c>
    </row>
    <row r="50" spans="2:24" x14ac:dyDescent="0.2">
      <c r="B50" s="368" t="s">
        <v>183</v>
      </c>
      <c r="C50" s="363"/>
      <c r="D50" s="369"/>
      <c r="E50" s="369"/>
      <c r="F50" s="369"/>
      <c r="G50" s="369"/>
      <c r="H50" s="369"/>
      <c r="I50" s="369"/>
      <c r="J50" s="369"/>
      <c r="K50" s="369"/>
      <c r="L50" s="369"/>
      <c r="M50" s="369"/>
      <c r="N50" s="369"/>
      <c r="O50" s="369"/>
      <c r="P50" s="369"/>
      <c r="Q50" s="369"/>
      <c r="R50" s="369"/>
      <c r="S50" s="369"/>
      <c r="T50" s="369"/>
      <c r="U50" s="369"/>
      <c r="V50" s="369"/>
      <c r="W50" s="369"/>
      <c r="X50" s="369"/>
    </row>
    <row r="51" spans="2:24" x14ac:dyDescent="0.2">
      <c r="B51" s="370"/>
      <c r="C51" s="363"/>
      <c r="D51" s="361"/>
      <c r="E51" s="361"/>
      <c r="F51" s="361"/>
      <c r="G51" s="361"/>
      <c r="H51" s="361"/>
      <c r="I51" s="361"/>
      <c r="J51" s="361"/>
      <c r="K51" s="361"/>
      <c r="L51" s="361"/>
      <c r="M51" s="361"/>
      <c r="N51" s="361"/>
      <c r="O51" s="361"/>
      <c r="P51" s="361"/>
      <c r="Q51" s="361"/>
      <c r="R51" s="361"/>
      <c r="S51" s="361"/>
      <c r="T51" s="361"/>
      <c r="U51" s="361"/>
      <c r="V51" s="361"/>
      <c r="W51" s="361"/>
      <c r="X51" s="361"/>
    </row>
    <row r="52" spans="2:24" hidden="1" outlineLevel="2" x14ac:dyDescent="0.2">
      <c r="B52" s="370"/>
      <c r="C52" s="363"/>
      <c r="D52" s="361"/>
      <c r="E52" s="361"/>
      <c r="F52" s="361"/>
      <c r="G52" s="361"/>
      <c r="H52" s="361"/>
      <c r="I52" s="361"/>
      <c r="J52" s="361"/>
      <c r="K52" s="361"/>
      <c r="L52" s="361"/>
      <c r="M52" s="361"/>
      <c r="N52" s="361"/>
      <c r="O52" s="361"/>
      <c r="P52" s="361"/>
      <c r="Q52" s="361"/>
      <c r="R52" s="361"/>
      <c r="S52" s="361"/>
      <c r="T52" s="361"/>
      <c r="U52" s="361"/>
      <c r="V52" s="361"/>
      <c r="W52" s="361"/>
      <c r="X52" s="361"/>
    </row>
    <row r="53" spans="2:24" hidden="1" outlineLevel="2" x14ac:dyDescent="0.2">
      <c r="B53" s="368" t="s">
        <v>184</v>
      </c>
      <c r="C53" s="363"/>
      <c r="D53" s="369"/>
      <c r="E53" s="369"/>
      <c r="F53" s="369"/>
      <c r="G53" s="369"/>
      <c r="H53" s="369"/>
      <c r="I53" s="369"/>
      <c r="J53" s="369"/>
      <c r="K53" s="369"/>
      <c r="L53" s="369"/>
      <c r="M53" s="369"/>
      <c r="N53" s="369"/>
      <c r="O53" s="369"/>
      <c r="P53" s="369"/>
      <c r="Q53" s="369"/>
      <c r="R53" s="369"/>
      <c r="S53" s="369"/>
      <c r="T53" s="369"/>
      <c r="U53" s="369"/>
      <c r="V53" s="369"/>
      <c r="W53" s="369"/>
      <c r="X53" s="369"/>
    </row>
    <row r="54" spans="2:24" hidden="1" outlineLevel="2" x14ac:dyDescent="0.2">
      <c r="B54" s="370"/>
      <c r="C54" s="363"/>
      <c r="D54" s="361"/>
      <c r="E54" s="361"/>
      <c r="F54" s="361"/>
      <c r="G54" s="361"/>
      <c r="H54" s="361"/>
      <c r="I54" s="361"/>
      <c r="J54" s="361"/>
      <c r="K54" s="361"/>
      <c r="L54" s="361"/>
      <c r="M54" s="361"/>
      <c r="N54" s="361"/>
      <c r="O54" s="361"/>
      <c r="P54" s="361"/>
      <c r="Q54" s="361"/>
      <c r="R54" s="361"/>
      <c r="S54" s="361"/>
      <c r="T54" s="361"/>
      <c r="U54" s="361"/>
      <c r="V54" s="361"/>
      <c r="W54" s="361"/>
      <c r="X54" s="361"/>
    </row>
    <row r="55" spans="2:24" hidden="1" outlineLevel="2" x14ac:dyDescent="0.2">
      <c r="B55" s="370"/>
      <c r="C55" s="363"/>
      <c r="D55" s="361"/>
      <c r="E55" s="361"/>
      <c r="F55" s="361"/>
      <c r="G55" s="361"/>
      <c r="H55" s="361"/>
      <c r="I55" s="361"/>
      <c r="J55" s="361"/>
      <c r="K55" s="361"/>
      <c r="L55" s="361"/>
      <c r="M55" s="361"/>
      <c r="N55" s="361"/>
      <c r="O55" s="361"/>
      <c r="P55" s="361"/>
      <c r="Q55" s="361"/>
      <c r="R55" s="361"/>
      <c r="S55" s="361"/>
      <c r="T55" s="361"/>
      <c r="U55" s="361"/>
      <c r="V55" s="361"/>
      <c r="W55" s="361"/>
      <c r="X55" s="361"/>
    </row>
    <row r="56" spans="2:24" hidden="1" outlineLevel="2" x14ac:dyDescent="0.2">
      <c r="B56" s="368" t="s">
        <v>185</v>
      </c>
      <c r="C56" s="363"/>
      <c r="D56" s="369"/>
      <c r="E56" s="369"/>
      <c r="F56" s="369"/>
      <c r="G56" s="369"/>
      <c r="H56" s="369"/>
      <c r="I56" s="369"/>
      <c r="J56" s="369"/>
      <c r="K56" s="369"/>
      <c r="L56" s="369"/>
      <c r="M56" s="369"/>
      <c r="N56" s="369"/>
      <c r="O56" s="369"/>
      <c r="P56" s="369"/>
      <c r="Q56" s="369"/>
      <c r="R56" s="369"/>
      <c r="S56" s="369"/>
      <c r="T56" s="369"/>
      <c r="U56" s="369"/>
      <c r="V56" s="369"/>
      <c r="W56" s="369"/>
      <c r="X56" s="369"/>
    </row>
    <row r="57" spans="2:24" hidden="1" outlineLevel="2" x14ac:dyDescent="0.2">
      <c r="B57" s="370"/>
      <c r="C57" s="363"/>
      <c r="D57" s="361"/>
      <c r="E57" s="361"/>
      <c r="F57" s="361"/>
      <c r="G57" s="361"/>
      <c r="H57" s="361"/>
      <c r="I57" s="361"/>
      <c r="J57" s="361"/>
      <c r="K57" s="361"/>
      <c r="L57" s="361"/>
      <c r="M57" s="361"/>
      <c r="N57" s="361"/>
      <c r="O57" s="361"/>
      <c r="P57" s="361"/>
      <c r="Q57" s="361"/>
      <c r="R57" s="361"/>
      <c r="S57" s="361"/>
      <c r="T57" s="361"/>
      <c r="U57" s="361"/>
      <c r="V57" s="361"/>
      <c r="W57" s="361"/>
      <c r="X57" s="361"/>
    </row>
    <row r="58" spans="2:24" hidden="1" outlineLevel="2" x14ac:dyDescent="0.2">
      <c r="B58" s="370"/>
      <c r="C58" s="363"/>
      <c r="D58" s="361"/>
      <c r="E58" s="361"/>
      <c r="F58" s="361"/>
      <c r="G58" s="361"/>
      <c r="H58" s="361"/>
      <c r="I58" s="361"/>
      <c r="J58" s="361"/>
      <c r="K58" s="361"/>
      <c r="L58" s="361"/>
      <c r="M58" s="361"/>
      <c r="N58" s="361"/>
      <c r="O58" s="361"/>
      <c r="P58" s="361"/>
      <c r="Q58" s="361"/>
      <c r="R58" s="361"/>
      <c r="S58" s="361"/>
      <c r="T58" s="361"/>
      <c r="U58" s="361"/>
      <c r="V58" s="361"/>
      <c r="W58" s="361"/>
      <c r="X58" s="361"/>
    </row>
    <row r="59" spans="2:24" hidden="1" outlineLevel="2" x14ac:dyDescent="0.2">
      <c r="B59" s="368" t="s">
        <v>111</v>
      </c>
      <c r="C59" s="363"/>
      <c r="D59" s="369"/>
      <c r="E59" s="369"/>
      <c r="F59" s="369"/>
      <c r="G59" s="369"/>
      <c r="H59" s="369"/>
      <c r="I59" s="369"/>
      <c r="J59" s="369"/>
      <c r="K59" s="369"/>
      <c r="L59" s="369"/>
      <c r="M59" s="369"/>
      <c r="N59" s="369"/>
      <c r="O59" s="369"/>
      <c r="P59" s="369"/>
      <c r="Q59" s="369"/>
      <c r="R59" s="369"/>
      <c r="S59" s="369"/>
      <c r="T59" s="369"/>
      <c r="U59" s="369"/>
      <c r="V59" s="369"/>
      <c r="W59" s="369"/>
      <c r="X59" s="369"/>
    </row>
    <row r="60" spans="2:24" hidden="1" outlineLevel="2" x14ac:dyDescent="0.2"/>
    <row r="61" spans="2:24" hidden="1" outlineLevel="2" x14ac:dyDescent="0.2"/>
    <row r="62" spans="2:24" collapsed="1" x14ac:dyDescent="0.2"/>
    <row r="63" spans="2:24" x14ac:dyDescent="0.2">
      <c r="B63" s="362" t="s">
        <v>309</v>
      </c>
    </row>
    <row r="64" spans="2:24" x14ac:dyDescent="0.2">
      <c r="B64" s="375" t="s">
        <v>310</v>
      </c>
      <c r="C64" s="376">
        <f>-D27</f>
        <v>7171204.8486399995</v>
      </c>
    </row>
    <row r="65" spans="2:23" x14ac:dyDescent="0.2">
      <c r="B65" s="375" t="s">
        <v>315</v>
      </c>
      <c r="C65" s="377">
        <v>0.04</v>
      </c>
    </row>
    <row r="66" spans="2:23" x14ac:dyDescent="0.2">
      <c r="B66" s="375" t="s">
        <v>314</v>
      </c>
      <c r="C66" s="370">
        <v>10</v>
      </c>
    </row>
    <row r="67" spans="2:23" x14ac:dyDescent="0.2">
      <c r="C67" s="375" t="s">
        <v>311</v>
      </c>
      <c r="D67" s="361"/>
      <c r="E67" s="361">
        <f>C64/(C66-1)</f>
        <v>796800.53873777774</v>
      </c>
      <c r="F67" s="361">
        <f>E67</f>
        <v>796800.53873777774</v>
      </c>
      <c r="G67" s="361">
        <f t="shared" ref="G67:M67" si="4">F67</f>
        <v>796800.53873777774</v>
      </c>
      <c r="H67" s="361">
        <f t="shared" si="4"/>
        <v>796800.53873777774</v>
      </c>
      <c r="I67" s="361">
        <f t="shared" si="4"/>
        <v>796800.53873777774</v>
      </c>
      <c r="J67" s="361">
        <f t="shared" si="4"/>
        <v>796800.53873777774</v>
      </c>
      <c r="K67" s="361">
        <f t="shared" si="4"/>
        <v>796800.53873777774</v>
      </c>
      <c r="L67" s="361">
        <f t="shared" si="4"/>
        <v>796800.53873777774</v>
      </c>
      <c r="M67" s="361">
        <f t="shared" si="4"/>
        <v>796800.53873777774</v>
      </c>
      <c r="N67" s="361"/>
      <c r="O67" s="361"/>
      <c r="P67" s="361"/>
      <c r="Q67" s="361"/>
      <c r="R67" s="361"/>
      <c r="S67" s="361"/>
      <c r="T67" s="361"/>
      <c r="U67" s="361"/>
      <c r="V67" s="361"/>
      <c r="W67" s="361"/>
    </row>
    <row r="68" spans="2:23" x14ac:dyDescent="0.2">
      <c r="C68" s="375" t="s">
        <v>313</v>
      </c>
      <c r="D68" s="361">
        <f>C64</f>
        <v>7171204.8486399995</v>
      </c>
      <c r="E68" s="361">
        <f>D68-D67</f>
        <v>7171204.8486399995</v>
      </c>
      <c r="F68" s="361">
        <f t="shared" ref="F68:W68" si="5">E68-E67</f>
        <v>6374404.3099022219</v>
      </c>
      <c r="G68" s="361">
        <f t="shared" si="5"/>
        <v>5577603.7711644443</v>
      </c>
      <c r="H68" s="361">
        <f t="shared" si="5"/>
        <v>4780803.2324266667</v>
      </c>
      <c r="I68" s="361">
        <f t="shared" si="5"/>
        <v>3984002.693688889</v>
      </c>
      <c r="J68" s="361">
        <f t="shared" si="5"/>
        <v>3187202.1549511114</v>
      </c>
      <c r="K68" s="361">
        <f t="shared" si="5"/>
        <v>2390401.6162133338</v>
      </c>
      <c r="L68" s="361">
        <f t="shared" si="5"/>
        <v>1593601.0774755562</v>
      </c>
      <c r="M68" s="361">
        <f t="shared" si="5"/>
        <v>796800.53873777844</v>
      </c>
      <c r="N68" s="361">
        <f t="shared" si="5"/>
        <v>0</v>
      </c>
      <c r="O68" s="361">
        <f t="shared" si="5"/>
        <v>0</v>
      </c>
      <c r="P68" s="361">
        <f t="shared" si="5"/>
        <v>0</v>
      </c>
      <c r="Q68" s="361">
        <f t="shared" si="5"/>
        <v>0</v>
      </c>
      <c r="R68" s="361">
        <f t="shared" si="5"/>
        <v>0</v>
      </c>
      <c r="S68" s="361">
        <f t="shared" si="5"/>
        <v>0</v>
      </c>
      <c r="T68" s="361">
        <f t="shared" si="5"/>
        <v>0</v>
      </c>
      <c r="U68" s="361">
        <f t="shared" si="5"/>
        <v>0</v>
      </c>
      <c r="V68" s="361">
        <f t="shared" si="5"/>
        <v>0</v>
      </c>
      <c r="W68" s="361">
        <f t="shared" si="5"/>
        <v>0</v>
      </c>
    </row>
    <row r="69" spans="2:23" x14ac:dyDescent="0.2">
      <c r="C69" s="375" t="s">
        <v>312</v>
      </c>
      <c r="D69" s="361">
        <f t="shared" ref="D69:W69" si="6">D68*$C$65</f>
        <v>286848.19394560001</v>
      </c>
      <c r="E69" s="361">
        <f t="shared" si="6"/>
        <v>286848.19394560001</v>
      </c>
      <c r="F69" s="361">
        <f t="shared" si="6"/>
        <v>254976.17239608889</v>
      </c>
      <c r="G69" s="361">
        <f t="shared" si="6"/>
        <v>223104.15084657777</v>
      </c>
      <c r="H69" s="361">
        <f t="shared" si="6"/>
        <v>191232.12929706668</v>
      </c>
      <c r="I69" s="361">
        <f t="shared" si="6"/>
        <v>159360.10774755556</v>
      </c>
      <c r="J69" s="361">
        <f t="shared" si="6"/>
        <v>127488.08619804446</v>
      </c>
      <c r="K69" s="361">
        <f t="shared" si="6"/>
        <v>95616.064648533356</v>
      </c>
      <c r="L69" s="361">
        <f t="shared" si="6"/>
        <v>63744.043099022245</v>
      </c>
      <c r="M69" s="361">
        <f t="shared" si="6"/>
        <v>31872.021549511137</v>
      </c>
      <c r="N69" s="361">
        <f t="shared" si="6"/>
        <v>0</v>
      </c>
      <c r="O69" s="361">
        <f t="shared" si="6"/>
        <v>0</v>
      </c>
      <c r="P69" s="361">
        <f t="shared" si="6"/>
        <v>0</v>
      </c>
      <c r="Q69" s="361">
        <f t="shared" si="6"/>
        <v>0</v>
      </c>
      <c r="R69" s="361">
        <f t="shared" si="6"/>
        <v>0</v>
      </c>
      <c r="S69" s="361">
        <f t="shared" si="6"/>
        <v>0</v>
      </c>
      <c r="T69" s="361">
        <f t="shared" si="6"/>
        <v>0</v>
      </c>
      <c r="U69" s="361">
        <f t="shared" si="6"/>
        <v>0</v>
      </c>
      <c r="V69" s="361">
        <f t="shared" si="6"/>
        <v>0</v>
      </c>
      <c r="W69" s="361">
        <f t="shared" si="6"/>
        <v>0</v>
      </c>
    </row>
    <row r="70" spans="2:23" x14ac:dyDescent="0.2"/>
    <row r="71" spans="2:23" x14ac:dyDescent="0.2">
      <c r="B71" s="362"/>
    </row>
    <row r="72" spans="2:23" x14ac:dyDescent="0.2">
      <c r="B72" s="375"/>
      <c r="C72" s="376"/>
    </row>
    <row r="73" spans="2:23" x14ac:dyDescent="0.2">
      <c r="B73" s="375"/>
      <c r="C73" s="377"/>
    </row>
    <row r="74" spans="2:23" x14ac:dyDescent="0.2">
      <c r="B74" s="375"/>
      <c r="C74" s="370"/>
    </row>
    <row r="75" spans="2:23" x14ac:dyDescent="0.2">
      <c r="C75" s="375"/>
      <c r="D75" s="361"/>
      <c r="E75" s="361"/>
      <c r="F75" s="361"/>
      <c r="G75" s="361"/>
      <c r="H75" s="361"/>
      <c r="I75" s="361"/>
      <c r="J75" s="361"/>
      <c r="K75" s="361"/>
      <c r="L75" s="361"/>
      <c r="M75" s="361"/>
      <c r="N75" s="361"/>
      <c r="O75" s="361"/>
      <c r="P75" s="361"/>
      <c r="Q75" s="361"/>
      <c r="R75" s="361"/>
      <c r="S75" s="361"/>
      <c r="T75" s="361"/>
      <c r="U75" s="361"/>
      <c r="V75" s="361"/>
      <c r="W75" s="361"/>
    </row>
    <row r="76" spans="2:23" x14ac:dyDescent="0.2">
      <c r="C76" s="375"/>
      <c r="D76" s="361"/>
      <c r="E76" s="361"/>
      <c r="F76" s="361"/>
      <c r="G76" s="361"/>
      <c r="H76" s="361"/>
      <c r="I76" s="361"/>
      <c r="J76" s="361"/>
      <c r="K76" s="361"/>
      <c r="L76" s="361"/>
      <c r="M76" s="361"/>
      <c r="N76" s="361"/>
      <c r="O76" s="361"/>
      <c r="P76" s="361"/>
      <c r="Q76" s="361"/>
      <c r="R76" s="361"/>
      <c r="S76" s="361"/>
      <c r="T76" s="361">
        <f t="shared" ref="T76:W76" si="7">S76-S75</f>
        <v>0</v>
      </c>
      <c r="U76" s="361">
        <f t="shared" si="7"/>
        <v>0</v>
      </c>
      <c r="V76" s="361">
        <f t="shared" si="7"/>
        <v>0</v>
      </c>
      <c r="W76" s="361">
        <f t="shared" si="7"/>
        <v>0</v>
      </c>
    </row>
    <row r="77" spans="2:23" x14ac:dyDescent="0.2">
      <c r="C77" s="375"/>
      <c r="D77" s="361"/>
      <c r="E77" s="361"/>
      <c r="F77" s="361"/>
      <c r="G77" s="361"/>
      <c r="H77" s="361"/>
      <c r="I77" s="361"/>
      <c r="J77" s="361"/>
      <c r="K77" s="361"/>
      <c r="L77" s="361"/>
      <c r="M77" s="361"/>
      <c r="N77" s="361"/>
      <c r="O77" s="361"/>
      <c r="P77" s="361"/>
      <c r="Q77" s="361"/>
      <c r="R77" s="361"/>
      <c r="S77" s="361"/>
      <c r="T77" s="361">
        <f t="shared" ref="T77:W77" si="8">T76*$C$65</f>
        <v>0</v>
      </c>
      <c r="U77" s="361">
        <f t="shared" si="8"/>
        <v>0</v>
      </c>
      <c r="V77" s="361">
        <f t="shared" si="8"/>
        <v>0</v>
      </c>
      <c r="W77" s="361">
        <f t="shared" si="8"/>
        <v>0</v>
      </c>
    </row>
  </sheetData>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AJ64"/>
  <sheetViews>
    <sheetView topLeftCell="A13" zoomScale="70" zoomScaleNormal="70" workbookViewId="0">
      <selection activeCell="L24" sqref="L24"/>
    </sheetView>
  </sheetViews>
  <sheetFormatPr defaultColWidth="0" defaultRowHeight="12" zeroHeight="1" outlineLevelRow="1" outlineLevelCol="1" x14ac:dyDescent="0.2"/>
  <cols>
    <col min="1" max="1" width="8.85546875" style="378" customWidth="1"/>
    <col min="2" max="2" width="38.7109375" style="355" bestFit="1" customWidth="1"/>
    <col min="3" max="3" width="4.7109375" style="355" hidden="1" customWidth="1" outlineLevel="1"/>
    <col min="4" max="4" width="12.7109375" style="355" hidden="1" customWidth="1" outlineLevel="1"/>
    <col min="5" max="5" width="11.28515625" style="355" customWidth="1" collapsed="1"/>
    <col min="6" max="25" width="8.85546875" style="355" customWidth="1"/>
    <col min="26" max="26" width="3.42578125" style="355" customWidth="1"/>
    <col min="27" max="27" width="9.7109375" style="355" bestFit="1" customWidth="1"/>
    <col min="28" max="28" width="8.85546875" style="355" customWidth="1"/>
    <col min="29" max="16384" width="8.85546875" style="355" hidden="1"/>
  </cols>
  <sheetData>
    <row r="1" spans="2:36" x14ac:dyDescent="0.2"/>
    <row r="2" spans="2:36" ht="15" x14ac:dyDescent="0.25">
      <c r="B2" s="379" t="s">
        <v>236</v>
      </c>
      <c r="C2" s="379"/>
      <c r="D2" s="379"/>
      <c r="E2" s="519" t="str">
        <f>IF(Titullapa!$D$19="Jā","AIZPILDĪT","NEAIZPILDĪT")</f>
        <v>AIZPILDĪT</v>
      </c>
      <c r="F2" s="519"/>
      <c r="G2" s="519"/>
      <c r="H2" s="365"/>
      <c r="I2" s="365"/>
      <c r="J2" s="365"/>
      <c r="K2" s="365"/>
      <c r="L2" s="365"/>
      <c r="M2" s="365"/>
      <c r="N2" s="365"/>
      <c r="O2" s="365"/>
      <c r="P2" s="365"/>
      <c r="Q2" s="365"/>
      <c r="R2" s="365"/>
      <c r="S2" s="365"/>
      <c r="T2" s="365"/>
      <c r="U2" s="365"/>
      <c r="V2" s="365"/>
      <c r="W2" s="365"/>
      <c r="X2" s="365"/>
      <c r="Y2" s="365"/>
    </row>
    <row r="3" spans="2:36" x14ac:dyDescent="0.2"/>
    <row r="4" spans="2:36" x14ac:dyDescent="0.2"/>
    <row r="5" spans="2:36" x14ac:dyDescent="0.2">
      <c r="B5" s="357" t="s">
        <v>146</v>
      </c>
      <c r="E5" s="380" t="s">
        <v>137</v>
      </c>
    </row>
    <row r="6" spans="2:36" x14ac:dyDescent="0.2">
      <c r="B6" s="357" t="s">
        <v>193</v>
      </c>
      <c r="C6" s="381"/>
      <c r="D6" s="381"/>
      <c r="E6" s="382">
        <v>0.04</v>
      </c>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row>
    <row r="7" spans="2:36" x14ac:dyDescent="0.2">
      <c r="B7" s="383"/>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row>
    <row r="8" spans="2:36" x14ac:dyDescent="0.2">
      <c r="B8" s="357" t="s">
        <v>169</v>
      </c>
      <c r="C8" s="381"/>
      <c r="D8" s="381"/>
      <c r="E8" s="384">
        <f>Projekts!D4</f>
        <v>2028</v>
      </c>
      <c r="F8" s="384">
        <f>Projekts!E4</f>
        <v>2029</v>
      </c>
      <c r="G8" s="384">
        <f>Projekts!F4</f>
        <v>2030</v>
      </c>
      <c r="H8" s="384">
        <f>Projekts!G4</f>
        <v>2031</v>
      </c>
      <c r="I8" s="384">
        <f>Projekts!H4</f>
        <v>2032</v>
      </c>
      <c r="J8" s="384">
        <f>Projekts!I4</f>
        <v>2033</v>
      </c>
      <c r="K8" s="384">
        <f>Projekts!J4</f>
        <v>2034</v>
      </c>
      <c r="L8" s="384">
        <f>Projekts!K4</f>
        <v>2035</v>
      </c>
      <c r="M8" s="384">
        <f>Projekts!L4</f>
        <v>2036</v>
      </c>
      <c r="N8" s="384">
        <f>Projekts!M4</f>
        <v>2037</v>
      </c>
      <c r="O8" s="384">
        <f>Projekts!N4</f>
        <v>2038</v>
      </c>
      <c r="P8" s="384">
        <f>Projekts!O4</f>
        <v>2039</v>
      </c>
      <c r="Q8" s="384">
        <f>Projekts!P4</f>
        <v>2040</v>
      </c>
      <c r="R8" s="384">
        <f>Projekts!Q4</f>
        <v>2041</v>
      </c>
      <c r="S8" s="384">
        <f>Projekts!R4</f>
        <v>2042</v>
      </c>
      <c r="T8" s="384">
        <f>Projekts!S4</f>
        <v>2043</v>
      </c>
      <c r="U8" s="384">
        <f>Projekts!T4</f>
        <v>2044</v>
      </c>
      <c r="V8" s="384">
        <f>Projekts!U4</f>
        <v>2045</v>
      </c>
      <c r="W8" s="384">
        <f>Projekts!V4</f>
        <v>2046</v>
      </c>
      <c r="X8" s="384">
        <f>Projekts!W4</f>
        <v>2047</v>
      </c>
      <c r="Y8" s="384">
        <f>Projekts!X4</f>
        <v>2048</v>
      </c>
      <c r="Z8" s="381"/>
      <c r="AA8" s="381" t="s">
        <v>191</v>
      </c>
      <c r="AB8" s="381"/>
      <c r="AC8" s="381"/>
      <c r="AD8" s="381"/>
      <c r="AE8" s="381"/>
      <c r="AF8" s="381"/>
      <c r="AG8" s="381"/>
      <c r="AH8" s="381"/>
      <c r="AI8" s="381"/>
      <c r="AJ8" s="381"/>
    </row>
    <row r="9" spans="2:36" x14ac:dyDescent="0.2">
      <c r="B9" s="357" t="s">
        <v>168</v>
      </c>
      <c r="C9" s="381"/>
      <c r="D9" s="381"/>
      <c r="E9" s="384">
        <v>1</v>
      </c>
      <c r="F9" s="384">
        <v>2</v>
      </c>
      <c r="G9" s="384">
        <v>3</v>
      </c>
      <c r="H9" s="384">
        <v>4</v>
      </c>
      <c r="I9" s="384">
        <v>5</v>
      </c>
      <c r="J9" s="384">
        <v>6</v>
      </c>
      <c r="K9" s="384">
        <v>7</v>
      </c>
      <c r="L9" s="384">
        <v>8</v>
      </c>
      <c r="M9" s="384">
        <v>9</v>
      </c>
      <c r="N9" s="384">
        <v>10</v>
      </c>
      <c r="O9" s="384">
        <v>11</v>
      </c>
      <c r="P9" s="384">
        <v>12</v>
      </c>
      <c r="Q9" s="384">
        <v>13</v>
      </c>
      <c r="R9" s="384">
        <v>14</v>
      </c>
      <c r="S9" s="384">
        <v>15</v>
      </c>
      <c r="T9" s="384">
        <v>16</v>
      </c>
      <c r="U9" s="384">
        <v>17</v>
      </c>
      <c r="V9" s="384">
        <v>18</v>
      </c>
      <c r="W9" s="384">
        <v>19</v>
      </c>
      <c r="X9" s="384">
        <v>20</v>
      </c>
      <c r="Y9" s="384">
        <v>21</v>
      </c>
      <c r="Z9" s="381"/>
      <c r="AA9" s="381">
        <f>COUNTA(E9:Y9)</f>
        <v>21</v>
      </c>
      <c r="AB9" s="381"/>
      <c r="AC9" s="381"/>
      <c r="AD9" s="381"/>
      <c r="AE9" s="381"/>
      <c r="AF9" s="381"/>
      <c r="AG9" s="381"/>
      <c r="AH9" s="381"/>
      <c r="AI9" s="381"/>
      <c r="AJ9" s="381"/>
    </row>
    <row r="10" spans="2:36" hidden="1" outlineLevel="1" x14ac:dyDescent="0.2">
      <c r="B10" s="357" t="s">
        <v>168</v>
      </c>
      <c r="C10" s="381"/>
      <c r="D10" s="381"/>
      <c r="E10" s="385">
        <f>Projekts!D6</f>
        <v>0</v>
      </c>
      <c r="F10" s="385">
        <f>Projekts!E6</f>
        <v>1</v>
      </c>
      <c r="G10" s="385">
        <f>Projekts!F6</f>
        <v>2</v>
      </c>
      <c r="H10" s="385">
        <f>Projekts!G6</f>
        <v>3</v>
      </c>
      <c r="I10" s="385">
        <f>Projekts!H6</f>
        <v>4</v>
      </c>
      <c r="J10" s="385">
        <f>Projekts!I6</f>
        <v>5</v>
      </c>
      <c r="K10" s="385">
        <f>Projekts!J6</f>
        <v>6</v>
      </c>
      <c r="L10" s="385">
        <f>Projekts!K6</f>
        <v>7</v>
      </c>
      <c r="M10" s="385">
        <f>Projekts!L6</f>
        <v>8</v>
      </c>
      <c r="N10" s="385">
        <f>Projekts!M6</f>
        <v>9</v>
      </c>
      <c r="O10" s="385">
        <f>Projekts!N6</f>
        <v>10</v>
      </c>
      <c r="P10" s="385">
        <f>Projekts!O6</f>
        <v>11</v>
      </c>
      <c r="Q10" s="385">
        <f>Projekts!P6</f>
        <v>12</v>
      </c>
      <c r="R10" s="385">
        <f>Projekts!Q6</f>
        <v>13</v>
      </c>
      <c r="S10" s="385">
        <f>Projekts!R6</f>
        <v>14</v>
      </c>
      <c r="T10" s="385">
        <f>Projekts!S6</f>
        <v>15</v>
      </c>
      <c r="U10" s="385">
        <f>Projekts!T6</f>
        <v>16</v>
      </c>
      <c r="V10" s="385">
        <f>Projekts!U6</f>
        <v>17</v>
      </c>
      <c r="W10" s="385">
        <f>Projekts!V6</f>
        <v>18</v>
      </c>
      <c r="X10" s="385">
        <f>Projekts!W6</f>
        <v>19</v>
      </c>
      <c r="Y10" s="385">
        <f>Projekts!X6</f>
        <v>20</v>
      </c>
      <c r="Z10" s="381"/>
      <c r="AA10" s="381"/>
      <c r="AB10" s="381"/>
      <c r="AC10" s="381"/>
      <c r="AD10" s="381"/>
      <c r="AE10" s="381"/>
      <c r="AF10" s="381"/>
      <c r="AG10" s="381"/>
      <c r="AH10" s="381"/>
      <c r="AI10" s="381"/>
      <c r="AJ10" s="381"/>
    </row>
    <row r="11" spans="2:36" collapsed="1" x14ac:dyDescent="0.2">
      <c r="B11" s="357" t="s">
        <v>147</v>
      </c>
      <c r="C11" s="381"/>
      <c r="D11" s="381"/>
      <c r="E11" s="386">
        <f>'Proj_FinEkonAnalize '!G4</f>
        <v>2.4E-2</v>
      </c>
      <c r="F11" s="386">
        <f>'Proj_FinEkonAnalize '!H4</f>
        <v>0.02</v>
      </c>
      <c r="G11" s="386">
        <f>'Proj_FinEkonAnalize '!I4</f>
        <v>0.02</v>
      </c>
      <c r="H11" s="386">
        <f>'Proj_FinEkonAnalize '!J4</f>
        <v>0.02</v>
      </c>
      <c r="I11" s="386">
        <f>'Proj_FinEkonAnalize '!K4</f>
        <v>0.02</v>
      </c>
      <c r="J11" s="386">
        <f>'Proj_FinEkonAnalize '!L4</f>
        <v>0.02</v>
      </c>
      <c r="K11" s="386">
        <f>'Proj_FinEkonAnalize '!M4</f>
        <v>0.02</v>
      </c>
      <c r="L11" s="386">
        <f>'Proj_FinEkonAnalize '!N4</f>
        <v>0.02</v>
      </c>
      <c r="M11" s="386">
        <f>'Proj_FinEkonAnalize '!O4</f>
        <v>0.02</v>
      </c>
      <c r="N11" s="386">
        <f>'Proj_FinEkonAnalize '!P4</f>
        <v>0.02</v>
      </c>
      <c r="O11" s="386">
        <f>'Proj_FinEkonAnalize '!Q4</f>
        <v>0.02</v>
      </c>
      <c r="P11" s="386">
        <f>'Proj_FinEkonAnalize '!R4</f>
        <v>0.02</v>
      </c>
      <c r="Q11" s="386">
        <f>'Proj_FinEkonAnalize '!S4</f>
        <v>0.02</v>
      </c>
      <c r="R11" s="386">
        <f>'Proj_FinEkonAnalize '!T4</f>
        <v>0.02</v>
      </c>
      <c r="S11" s="386">
        <f>'Proj_FinEkonAnalize '!U4</f>
        <v>0.02</v>
      </c>
      <c r="T11" s="386">
        <f>'Proj_FinEkonAnalize '!V4</f>
        <v>0.02</v>
      </c>
      <c r="U11" s="386">
        <f>'Proj_FinEkonAnalize '!W4</f>
        <v>0.02</v>
      </c>
      <c r="V11" s="386">
        <f>'Proj_FinEkonAnalize '!X4</f>
        <v>0.02</v>
      </c>
      <c r="W11" s="386">
        <f>'Proj_FinEkonAnalize '!Y4</f>
        <v>0.02</v>
      </c>
      <c r="X11" s="386">
        <f>'Proj_FinEkonAnalize '!Z4</f>
        <v>0.02</v>
      </c>
      <c r="Y11" s="386">
        <f>'Proj_FinEkonAnalize '!AA4</f>
        <v>0.02</v>
      </c>
      <c r="Z11" s="381"/>
      <c r="AA11" s="381"/>
      <c r="AB11" s="381"/>
      <c r="AC11" s="381"/>
      <c r="AD11" s="381"/>
      <c r="AE11" s="381"/>
      <c r="AF11" s="381"/>
      <c r="AG11" s="381"/>
      <c r="AH11" s="381"/>
      <c r="AI11" s="381"/>
      <c r="AJ11" s="381"/>
    </row>
    <row r="12" spans="2:36" x14ac:dyDescent="0.2">
      <c r="B12" s="387"/>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row>
    <row r="13" spans="2:36" x14ac:dyDescent="0.2">
      <c r="B13" s="388" t="s">
        <v>148</v>
      </c>
      <c r="C13" s="381"/>
      <c r="D13" s="389" t="s">
        <v>160</v>
      </c>
      <c r="E13" s="381"/>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row>
    <row r="14" spans="2:36" x14ac:dyDescent="0.2">
      <c r="B14" s="390" t="s">
        <v>149</v>
      </c>
      <c r="C14" s="381"/>
      <c r="D14" s="389"/>
      <c r="E14" s="391">
        <f>SUM(E15:E18)</f>
        <v>-7888325.3335039997</v>
      </c>
      <c r="F14" s="391">
        <f t="shared" ref="F14:W14" si="0">SUM(F15:F18)</f>
        <v>-98680.638355783682</v>
      </c>
      <c r="G14" s="391">
        <f t="shared" si="0"/>
        <v>-99698.551761255134</v>
      </c>
      <c r="H14" s="391">
        <f t="shared" si="0"/>
        <v>-100825.24134824148</v>
      </c>
      <c r="I14" s="391">
        <f t="shared" si="0"/>
        <v>-101960.89141655456</v>
      </c>
      <c r="J14" s="391">
        <f t="shared" si="0"/>
        <v>-103105.69013630222</v>
      </c>
      <c r="K14" s="391">
        <f t="shared" si="0"/>
        <v>-104259.82962916455</v>
      </c>
      <c r="L14" s="391">
        <f t="shared" si="0"/>
        <v>-105423.506051377</v>
      </c>
      <c r="M14" s="391">
        <f t="shared" si="0"/>
        <v>-106596.91967845592</v>
      </c>
      <c r="N14" s="391">
        <f t="shared" si="0"/>
        <v>-346714.52496404841</v>
      </c>
      <c r="O14" s="391">
        <f t="shared" si="0"/>
        <v>-109073.78076652926</v>
      </c>
      <c r="P14" s="391">
        <f t="shared" si="0"/>
        <v>-110377.65016262638</v>
      </c>
      <c r="Q14" s="391">
        <f t="shared" si="0"/>
        <v>-111692.10081604152</v>
      </c>
      <c r="R14" s="391">
        <f t="shared" si="0"/>
        <v>-113017.3549331784</v>
      </c>
      <c r="S14" s="391">
        <f t="shared" si="0"/>
        <v>-114353.63938677515</v>
      </c>
      <c r="T14" s="391">
        <f t="shared" si="0"/>
        <v>-115701.18581389743</v>
      </c>
      <c r="U14" s="391">
        <f t="shared" si="0"/>
        <v>-117160.23071598925</v>
      </c>
      <c r="V14" s="391">
        <f t="shared" si="0"/>
        <v>-118631.01556102502</v>
      </c>
      <c r="W14" s="391">
        <f t="shared" si="0"/>
        <v>-120113.78688780655</v>
      </c>
      <c r="X14" s="391">
        <f>SUM(X15:X18)</f>
        <v>-764182.09984953783</v>
      </c>
      <c r="Y14" s="391">
        <f t="shared" ref="Y14" si="1">SUM(Y15:Y18)</f>
        <v>-123116.30113711196</v>
      </c>
      <c r="Z14" s="392"/>
      <c r="AA14" s="391">
        <f>SUM(E14:Y14)</f>
        <v>-10973010.2728757</v>
      </c>
      <c r="AB14" s="381"/>
      <c r="AC14" s="381"/>
      <c r="AD14" s="381"/>
      <c r="AE14" s="381"/>
      <c r="AF14" s="381"/>
      <c r="AG14" s="381"/>
      <c r="AH14" s="381"/>
      <c r="AI14" s="381"/>
      <c r="AJ14" s="381"/>
    </row>
    <row r="15" spans="2:36" x14ac:dyDescent="0.2">
      <c r="B15" s="393" t="s">
        <v>177</v>
      </c>
      <c r="C15" s="381"/>
      <c r="D15" s="389" t="s">
        <v>161</v>
      </c>
      <c r="E15" s="394">
        <f>Projekts!D27</f>
        <v>-7171204.8486399995</v>
      </c>
      <c r="F15" s="394">
        <f>Projekts!E27</f>
        <v>-61891.489414348798</v>
      </c>
      <c r="G15" s="394">
        <f>Projekts!F27</f>
        <v>-62271.410692050122</v>
      </c>
      <c r="H15" s="394">
        <f>Projekts!G27</f>
        <v>-62659.310316583171</v>
      </c>
      <c r="I15" s="394">
        <f>Projekts!H27</f>
        <v>-63055.355833231413</v>
      </c>
      <c r="J15" s="394">
        <f>Projekts!I27</f>
        <v>-63459.718305729286</v>
      </c>
      <c r="K15" s="394">
        <f>Projekts!J27</f>
        <v>-63872.572390149588</v>
      </c>
      <c r="L15" s="394">
        <f>Projekts!K27</f>
        <v>-64294.096410342732</v>
      </c>
      <c r="M15" s="394">
        <f>Projekts!L27</f>
        <v>-64724.47243495992</v>
      </c>
      <c r="N15" s="394">
        <f>Projekts!M27</f>
        <v>-282376.84087640763</v>
      </c>
      <c r="O15" s="394">
        <f>Projekts!N27</f>
        <v>-65612.527969572053</v>
      </c>
      <c r="P15" s="394">
        <f>Projekts!O27</f>
        <v>-66070.591056933074</v>
      </c>
      <c r="Q15" s="394">
        <f>Projekts!P27</f>
        <v>-66538.273469128661</v>
      </c>
      <c r="R15" s="394">
        <f>Projekts!Q27</f>
        <v>-67015.77721198037</v>
      </c>
      <c r="S15" s="394">
        <f>Projekts!R27</f>
        <v>-67503.308533431948</v>
      </c>
      <c r="T15" s="394">
        <f>Projekts!S27</f>
        <v>-68001.078012634025</v>
      </c>
      <c r="U15" s="394">
        <f>Projekts!T27</f>
        <v>-68509.300650899313</v>
      </c>
      <c r="V15" s="394">
        <f>Projekts!U27</f>
        <v>-69028.195964568207</v>
      </c>
      <c r="W15" s="394">
        <f>Projekts!V27</f>
        <v>-69557.988079824136</v>
      </c>
      <c r="X15" s="394">
        <f>Projekts!W27</f>
        <v>-654256.45440867078</v>
      </c>
      <c r="Y15" s="394">
        <f>Projekts!X27</f>
        <v>-70651.182851919963</v>
      </c>
      <c r="Z15" s="392"/>
      <c r="AA15" s="391">
        <f t="shared" ref="AA15:AA18" si="2">SUM(E15:Y15)</f>
        <v>-9292554.7935233619</v>
      </c>
      <c r="AB15" s="381"/>
      <c r="AC15" s="381"/>
      <c r="AD15" s="381"/>
      <c r="AE15" s="381"/>
      <c r="AF15" s="381"/>
      <c r="AG15" s="381"/>
      <c r="AH15" s="381"/>
      <c r="AI15" s="381"/>
      <c r="AJ15" s="381"/>
    </row>
    <row r="16" spans="2:36" s="378" customFormat="1" ht="24" x14ac:dyDescent="0.2">
      <c r="B16" s="395" t="s">
        <v>355</v>
      </c>
      <c r="C16" s="452">
        <v>0.1</v>
      </c>
      <c r="D16" s="396" t="s">
        <v>161</v>
      </c>
      <c r="E16" s="397">
        <f>E15*$C$16</f>
        <v>-717120.484864</v>
      </c>
      <c r="F16" s="397">
        <f t="shared" ref="F16:X16" si="3">F15*$C$16</f>
        <v>-6189.1489414348798</v>
      </c>
      <c r="G16" s="397">
        <f t="shared" si="3"/>
        <v>-6227.1410692050122</v>
      </c>
      <c r="H16" s="397">
        <f>H15*$C$16</f>
        <v>-6265.9310316583178</v>
      </c>
      <c r="I16" s="397">
        <f t="shared" si="3"/>
        <v>-6305.5355833231415</v>
      </c>
      <c r="J16" s="397">
        <f t="shared" si="3"/>
        <v>-6345.9718305729293</v>
      </c>
      <c r="K16" s="397">
        <f t="shared" si="3"/>
        <v>-6387.2572390149589</v>
      </c>
      <c r="L16" s="397">
        <f t="shared" si="3"/>
        <v>-6429.4096410342736</v>
      </c>
      <c r="M16" s="397">
        <f t="shared" si="3"/>
        <v>-6472.4472434959926</v>
      </c>
      <c r="N16" s="397">
        <f t="shared" si="3"/>
        <v>-28237.684087640766</v>
      </c>
      <c r="O16" s="397">
        <f t="shared" si="3"/>
        <v>-6561.2527969572056</v>
      </c>
      <c r="P16" s="397">
        <f t="shared" si="3"/>
        <v>-6607.0591056933081</v>
      </c>
      <c r="Q16" s="397">
        <f t="shared" si="3"/>
        <v>-6653.8273469128662</v>
      </c>
      <c r="R16" s="397">
        <f t="shared" si="3"/>
        <v>-6701.5777211980376</v>
      </c>
      <c r="S16" s="397">
        <f t="shared" si="3"/>
        <v>-6750.3308533431955</v>
      </c>
      <c r="T16" s="397">
        <f t="shared" si="3"/>
        <v>-6800.1078012634025</v>
      </c>
      <c r="U16" s="397">
        <f t="shared" si="3"/>
        <v>-6850.9300650899313</v>
      </c>
      <c r="V16" s="397">
        <f t="shared" si="3"/>
        <v>-6902.8195964568213</v>
      </c>
      <c r="W16" s="397">
        <f t="shared" si="3"/>
        <v>-6955.7988079824136</v>
      </c>
      <c r="X16" s="397">
        <f t="shared" si="3"/>
        <v>-65425.645440867083</v>
      </c>
      <c r="Y16" s="397">
        <f t="shared" ref="Y16" si="4">Y15*$C$16</f>
        <v>-7065.1182851919966</v>
      </c>
      <c r="Z16" s="398"/>
      <c r="AA16" s="391">
        <f t="shared" si="2"/>
        <v>-929255.47935233649</v>
      </c>
      <c r="AB16" s="399"/>
      <c r="AC16" s="399"/>
      <c r="AD16" s="399"/>
      <c r="AE16" s="399"/>
      <c r="AF16" s="399"/>
      <c r="AG16" s="399"/>
      <c r="AH16" s="399"/>
      <c r="AI16" s="399"/>
      <c r="AJ16" s="399"/>
    </row>
    <row r="17" spans="1:36" s="362" customFormat="1" x14ac:dyDescent="0.2">
      <c r="A17" s="468"/>
      <c r="B17" s="469" t="s">
        <v>356</v>
      </c>
      <c r="C17" s="470">
        <v>1</v>
      </c>
      <c r="D17" s="476" t="s">
        <v>161</v>
      </c>
      <c r="E17" s="472"/>
      <c r="F17" s="472">
        <f>-ROUND(2500*C17*12*(1+'Proj_FinEkonAnalize '!H5),-2)</f>
        <v>-30600</v>
      </c>
      <c r="G17" s="472">
        <f>ROUND(F17*(1+'Proj_FinEkonAnalize '!I5),-2)</f>
        <v>-31200</v>
      </c>
      <c r="H17" s="472">
        <f>ROUND(G17*(1+'Proj_FinEkonAnalize '!J5),-2)</f>
        <v>-31900</v>
      </c>
      <c r="I17" s="472">
        <f>ROUND(H17*(1+'Proj_FinEkonAnalize '!K5),-2)</f>
        <v>-32600</v>
      </c>
      <c r="J17" s="472">
        <f>ROUND(I17*(1+'Proj_FinEkonAnalize '!L5),-2)</f>
        <v>-33300</v>
      </c>
      <c r="K17" s="472">
        <f>ROUND(J17*(1+'Proj_FinEkonAnalize '!M5),-2)</f>
        <v>-34000</v>
      </c>
      <c r="L17" s="472">
        <f>ROUND(K17*(1+'Proj_FinEkonAnalize '!N5),-2)</f>
        <v>-34700</v>
      </c>
      <c r="M17" s="472">
        <f>ROUND(L17*(1+'Proj_FinEkonAnalize '!O5),-2)</f>
        <v>-35400</v>
      </c>
      <c r="N17" s="472">
        <f>ROUND(M17*(1+'Proj_FinEkonAnalize '!P5),-2)</f>
        <v>-36100</v>
      </c>
      <c r="O17" s="472">
        <f>ROUND(N17*(1+'Proj_FinEkonAnalize '!Q5),-2)</f>
        <v>-36900</v>
      </c>
      <c r="P17" s="472">
        <f>ROUND(O17*(1+'Proj_FinEkonAnalize '!R5),-2)</f>
        <v>-37700</v>
      </c>
      <c r="Q17" s="472">
        <f>ROUND(P17*(1+'Proj_FinEkonAnalize '!S5),-2)</f>
        <v>-38500</v>
      </c>
      <c r="R17" s="472">
        <f>ROUND(Q17*(1+'Proj_FinEkonAnalize '!T5),-2)</f>
        <v>-39300</v>
      </c>
      <c r="S17" s="472">
        <f>ROUND(R17*(1+'Proj_FinEkonAnalize '!U5),-2)</f>
        <v>-40100</v>
      </c>
      <c r="T17" s="472">
        <f>ROUND(S17*(1+'Proj_FinEkonAnalize '!V5),-2)</f>
        <v>-40900</v>
      </c>
      <c r="U17" s="472">
        <f>ROUND(T17*(1+'Proj_FinEkonAnalize '!W5),-2)</f>
        <v>-41800</v>
      </c>
      <c r="V17" s="472">
        <f>ROUND(U17*(1+'Proj_FinEkonAnalize '!X5),-2)</f>
        <v>-42700</v>
      </c>
      <c r="W17" s="472">
        <f>ROUND(V17*(1+'Proj_FinEkonAnalize '!Y5),-2)</f>
        <v>-43600</v>
      </c>
      <c r="X17" s="472">
        <f>ROUND(W17*(1+'Proj_FinEkonAnalize '!Z5),-2)</f>
        <v>-44500</v>
      </c>
      <c r="Y17" s="472">
        <f>ROUND(X17*(1+'Proj_FinEkonAnalize '!AA5),-2)</f>
        <v>-45400</v>
      </c>
      <c r="Z17" s="444"/>
      <c r="AA17" s="478">
        <f t="shared" si="2"/>
        <v>-751200</v>
      </c>
      <c r="AB17" s="477"/>
      <c r="AC17" s="477"/>
      <c r="AD17" s="477"/>
      <c r="AE17" s="477"/>
      <c r="AF17" s="477"/>
      <c r="AG17" s="477"/>
      <c r="AH17" s="477"/>
      <c r="AI17" s="477"/>
      <c r="AJ17" s="477"/>
    </row>
    <row r="18" spans="1:36" x14ac:dyDescent="0.2">
      <c r="B18" s="393" t="s">
        <v>111</v>
      </c>
      <c r="C18" s="453"/>
      <c r="D18" s="389" t="s">
        <v>161</v>
      </c>
      <c r="E18" s="394"/>
      <c r="F18" s="394"/>
      <c r="G18" s="394"/>
      <c r="H18" s="394"/>
      <c r="I18" s="394"/>
      <c r="J18" s="394"/>
      <c r="K18" s="394"/>
      <c r="L18" s="394"/>
      <c r="M18" s="394"/>
      <c r="N18" s="394"/>
      <c r="O18" s="394"/>
      <c r="P18" s="394"/>
      <c r="Q18" s="394"/>
      <c r="R18" s="394"/>
      <c r="S18" s="394"/>
      <c r="T18" s="394"/>
      <c r="U18" s="394"/>
      <c r="V18" s="394"/>
      <c r="W18" s="394"/>
      <c r="X18" s="394"/>
      <c r="Y18" s="394"/>
      <c r="Z18" s="392"/>
      <c r="AA18" s="391">
        <f t="shared" si="2"/>
        <v>0</v>
      </c>
      <c r="AB18" s="381"/>
      <c r="AC18" s="381"/>
      <c r="AD18" s="381"/>
      <c r="AE18" s="381"/>
      <c r="AF18" s="381"/>
      <c r="AG18" s="381"/>
      <c r="AH18" s="381"/>
      <c r="AI18" s="381"/>
      <c r="AJ18" s="381"/>
    </row>
    <row r="19" spans="1:36" x14ac:dyDescent="0.2">
      <c r="B19" s="387"/>
      <c r="C19" s="453"/>
      <c r="D19" s="389"/>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81"/>
      <c r="AC19" s="381"/>
      <c r="AD19" s="381"/>
      <c r="AE19" s="381"/>
      <c r="AF19" s="381"/>
      <c r="AG19" s="381"/>
      <c r="AH19" s="381"/>
      <c r="AI19" s="381"/>
      <c r="AJ19" s="381"/>
    </row>
    <row r="20" spans="1:36" x14ac:dyDescent="0.2">
      <c r="B20" s="390" t="s">
        <v>150</v>
      </c>
      <c r="C20" s="453"/>
      <c r="D20" s="389"/>
      <c r="E20" s="391">
        <f>E21+E26</f>
        <v>-286848.19394560001</v>
      </c>
      <c r="F20" s="391">
        <f>F21+F26</f>
        <v>-3043506.1749628806</v>
      </c>
      <c r="G20" s="391">
        <f>G21+G26</f>
        <v>-3001666.5848040143</v>
      </c>
      <c r="H20" s="391">
        <f t="shared" ref="H20:Y20" si="5">H21+H26</f>
        <v>-2960330.5318119982</v>
      </c>
      <c r="I20" s="391">
        <f t="shared" si="5"/>
        <v>-2919492.2039872026</v>
      </c>
      <c r="J20" s="391">
        <f t="shared" si="5"/>
        <v>-2879299.4693413675</v>
      </c>
      <c r="K20" s="391">
        <f t="shared" si="5"/>
        <v>-2839593.3329565055</v>
      </c>
      <c r="L20" s="391">
        <f t="shared" si="5"/>
        <v>-2800469.0348984767</v>
      </c>
      <c r="M20" s="391">
        <f t="shared" si="5"/>
        <v>-2761922.1446642447</v>
      </c>
      <c r="N20" s="391">
        <f t="shared" ref="N20:W20" si="6">N21+N26</f>
        <v>-2723900.7763395691</v>
      </c>
      <c r="O20" s="391">
        <f t="shared" si="6"/>
        <v>-1889547.840811427</v>
      </c>
      <c r="P20" s="391">
        <f t="shared" si="6"/>
        <v>-1884432.9595167383</v>
      </c>
      <c r="Q20" s="391">
        <f t="shared" si="6"/>
        <v>-1879780.3944469846</v>
      </c>
      <c r="R20" s="391">
        <f t="shared" si="6"/>
        <v>-1880892.1225825229</v>
      </c>
      <c r="S20" s="391">
        <f t="shared" si="6"/>
        <v>-1882412.4402551407</v>
      </c>
      <c r="T20" s="391">
        <f t="shared" si="6"/>
        <v>-1884293.9336380959</v>
      </c>
      <c r="U20" s="391">
        <f t="shared" si="6"/>
        <v>-1886486.5130248957</v>
      </c>
      <c r="V20" s="391">
        <f t="shared" si="6"/>
        <v>-1889091.7151338027</v>
      </c>
      <c r="W20" s="391">
        <f t="shared" si="6"/>
        <v>-1892011.2655922661</v>
      </c>
      <c r="X20" s="391">
        <f t="shared" si="5"/>
        <v>-1895347.0766384942</v>
      </c>
      <c r="Y20" s="391">
        <f t="shared" si="5"/>
        <v>-1899101.2450253749</v>
      </c>
      <c r="Z20" s="392"/>
      <c r="AA20" s="391">
        <f>SUM(E20:Y20)</f>
        <v>-46980425.954377607</v>
      </c>
      <c r="AB20" s="381"/>
      <c r="AC20" s="381"/>
      <c r="AD20" s="381"/>
      <c r="AE20" s="381"/>
      <c r="AF20" s="381"/>
      <c r="AG20" s="381"/>
      <c r="AH20" s="381"/>
      <c r="AI20" s="381"/>
      <c r="AJ20" s="381"/>
    </row>
    <row r="21" spans="1:36" x14ac:dyDescent="0.2">
      <c r="B21" s="400" t="s">
        <v>151</v>
      </c>
      <c r="C21" s="453"/>
      <c r="D21" s="389"/>
      <c r="E21" s="391">
        <f>SUM(E22:E25)</f>
        <v>0</v>
      </c>
      <c r="F21" s="391">
        <f>SUM(F22:F25)</f>
        <v>-1898557.4422795027</v>
      </c>
      <c r="G21" s="391">
        <f t="shared" ref="G21:Y21" si="7">SUM(G22:G25)</f>
        <v>-1887289.8736701475</v>
      </c>
      <c r="H21" s="391">
        <f t="shared" si="7"/>
        <v>-1876525.8422276429</v>
      </c>
      <c r="I21" s="391">
        <f t="shared" si="7"/>
        <v>-1866259.535952358</v>
      </c>
      <c r="J21" s="391">
        <f t="shared" si="7"/>
        <v>-1856538.8228560339</v>
      </c>
      <c r="K21" s="391">
        <f t="shared" si="7"/>
        <v>-1847304.7080206834</v>
      </c>
      <c r="L21" s="391">
        <f t="shared" si="7"/>
        <v>-1838652.4315121656</v>
      </c>
      <c r="M21" s="391">
        <f t="shared" si="7"/>
        <v>-1830477.5628274446</v>
      </c>
      <c r="N21" s="391">
        <f t="shared" ref="N21:W21" si="8">SUM(N22:N25)</f>
        <v>-1822828.2160522805</v>
      </c>
      <c r="O21" s="391">
        <f t="shared" si="8"/>
        <v>-1815647.840811427</v>
      </c>
      <c r="P21" s="391">
        <f t="shared" si="8"/>
        <v>-1808932.9595167383</v>
      </c>
      <c r="Q21" s="391">
        <f t="shared" si="8"/>
        <v>-1802680.3944469846</v>
      </c>
      <c r="R21" s="391">
        <f t="shared" si="8"/>
        <v>-1802192.1225825229</v>
      </c>
      <c r="S21" s="391">
        <f t="shared" si="8"/>
        <v>-1802012.4402551407</v>
      </c>
      <c r="T21" s="391">
        <f t="shared" si="8"/>
        <v>-1802193.9336380959</v>
      </c>
      <c r="U21" s="391">
        <f t="shared" si="8"/>
        <v>-1802686.5130248957</v>
      </c>
      <c r="V21" s="391">
        <f t="shared" si="8"/>
        <v>-1803491.7151338027</v>
      </c>
      <c r="W21" s="391">
        <f t="shared" si="8"/>
        <v>-1804611.2655922661</v>
      </c>
      <c r="X21" s="391">
        <f t="shared" si="7"/>
        <v>-1806147.0766384942</v>
      </c>
      <c r="Y21" s="391">
        <f t="shared" si="7"/>
        <v>-1808001.2450253749</v>
      </c>
      <c r="Z21" s="392"/>
      <c r="AA21" s="391">
        <f t="shared" ref="AA21:AA30" si="9">SUM(E21:Y21)</f>
        <v>-36583031.942063995</v>
      </c>
      <c r="AB21" s="381"/>
      <c r="AC21" s="381"/>
      <c r="AD21" s="381"/>
      <c r="AE21" s="381"/>
      <c r="AF21" s="381"/>
      <c r="AG21" s="381"/>
      <c r="AH21" s="381"/>
      <c r="AI21" s="381"/>
      <c r="AJ21" s="381"/>
    </row>
    <row r="22" spans="1:36" x14ac:dyDescent="0.2">
      <c r="B22" s="393" t="s">
        <v>180</v>
      </c>
      <c r="C22" s="453"/>
      <c r="D22" s="389" t="s">
        <v>161</v>
      </c>
      <c r="E22" s="394">
        <f>Projekts!D39</f>
        <v>0</v>
      </c>
      <c r="F22" s="394">
        <f>Projekts!E39</f>
        <v>-1754603.4716821313</v>
      </c>
      <c r="G22" s="394">
        <f>Projekts!F39</f>
        <v>-1743651.6047884894</v>
      </c>
      <c r="H22" s="394">
        <f>Projekts!G39</f>
        <v>-1733200.940408865</v>
      </c>
      <c r="I22" s="394">
        <f>Projekts!H39</f>
        <v>-1723245.6473508985</v>
      </c>
      <c r="J22" s="394">
        <f>Projekts!I39</f>
        <v>-1713827.8430910665</v>
      </c>
      <c r="K22" s="394">
        <f>Projekts!J39</f>
        <v>-1704894.212642658</v>
      </c>
      <c r="L22" s="394">
        <f>Projekts!K39</f>
        <v>-1696439.9759753956</v>
      </c>
      <c r="M22" s="394">
        <f>Projekts!L39</f>
        <v>-1688460.6822673907</v>
      </c>
      <c r="N22" s="394">
        <f>Projekts!M39</f>
        <v>-1680998.6302361256</v>
      </c>
      <c r="O22" s="394">
        <f>Projekts!N39</f>
        <v>-1674003.011266707</v>
      </c>
      <c r="P22" s="394">
        <f>Projekts!O39</f>
        <v>-1667470.3264945778</v>
      </c>
      <c r="Q22" s="394">
        <f>Projekts!P39</f>
        <v>-1661397.3766836566</v>
      </c>
      <c r="R22" s="394">
        <f>Projekts!Q39</f>
        <v>-1661426.5389465566</v>
      </c>
      <c r="S22" s="394">
        <f>Projekts!R39</f>
        <v>-1661758.4472170626</v>
      </c>
      <c r="T22" s="394">
        <f>Projekts!S39</f>
        <v>-1662439.8441389585</v>
      </c>
      <c r="U22" s="394">
        <f>Projekts!T39</f>
        <v>-1663426.4835352255</v>
      </c>
      <c r="V22" s="394">
        <f>Projekts!U39</f>
        <v>-1664719.9021241262</v>
      </c>
      <c r="W22" s="394">
        <f>Projekts!V39</f>
        <v>-1666321.8255331095</v>
      </c>
      <c r="X22" s="394">
        <f>Projekts!W39</f>
        <v>-1668234.1660003839</v>
      </c>
      <c r="Y22" s="394">
        <f>Projekts!X39</f>
        <v>-1670459.0202788373</v>
      </c>
      <c r="Z22" s="392"/>
      <c r="AA22" s="391">
        <f t="shared" si="9"/>
        <v>-33760979.950662225</v>
      </c>
      <c r="AB22" s="381"/>
      <c r="AC22" s="381"/>
      <c r="AD22" s="381"/>
      <c r="AE22" s="381"/>
      <c r="AF22" s="381"/>
      <c r="AG22" s="381"/>
      <c r="AH22" s="381"/>
      <c r="AI22" s="381"/>
      <c r="AJ22" s="381"/>
    </row>
    <row r="23" spans="1:36" s="378" customFormat="1" ht="24" x14ac:dyDescent="0.2">
      <c r="B23" s="395" t="s">
        <v>354</v>
      </c>
      <c r="C23" s="452">
        <f>C16</f>
        <v>0.1</v>
      </c>
      <c r="D23" s="396" t="s">
        <v>161</v>
      </c>
      <c r="E23" s="397"/>
      <c r="F23" s="397">
        <f>-'Proj_FinEkonAnalize '!H61*NPV_Bāze_I!$C$23</f>
        <v>-128653.97059737137</v>
      </c>
      <c r="G23" s="397">
        <f>-'Proj_FinEkonAnalize '!I61*NPV_Bāze_I!$C$23</f>
        <v>-128038.26888165809</v>
      </c>
      <c r="H23" s="397">
        <f>-'Proj_FinEkonAnalize '!J61*NPV_Bāze_I!$C$23</f>
        <v>-127424.90181877796</v>
      </c>
      <c r="I23" s="397">
        <f>-'Proj_FinEkonAnalize '!K61*NPV_Bāze_I!$C$23</f>
        <v>-126813.88860145955</v>
      </c>
      <c r="J23" s="397">
        <f>-'Proj_FinEkonAnalize '!L61*NPV_Bāze_I!$C$23</f>
        <v>-126210.9797649674</v>
      </c>
      <c r="K23" s="397">
        <f>-'Proj_FinEkonAnalize '!M61*NPV_Bāze_I!$C$23</f>
        <v>-125610.49537802537</v>
      </c>
      <c r="L23" s="397">
        <f>-'Proj_FinEkonAnalize '!N61*NPV_Bāze_I!$C$23</f>
        <v>-125012.45553676992</v>
      </c>
      <c r="M23" s="397">
        <f>-'Proj_FinEkonAnalize '!O61*NPV_Bāze_I!$C$23</f>
        <v>-124416.88056005393</v>
      </c>
      <c r="N23" s="397">
        <f>-'Proj_FinEkonAnalize '!P61*NPV_Bāze_I!$C$23</f>
        <v>-123829.58581615506</v>
      </c>
      <c r="O23" s="397">
        <f>-'Proj_FinEkonAnalize '!Q61*NPV_Bāze_I!$C$23</f>
        <v>-123244.82954471996</v>
      </c>
      <c r="P23" s="397">
        <f>-'Proj_FinEkonAnalize '!R61*NPV_Bāze_I!$C$23</f>
        <v>-122662.63302216057</v>
      </c>
      <c r="Q23" s="397">
        <f>-'Proj_FinEkonAnalize '!S61*NPV_Bāze_I!$C$23</f>
        <v>-122083.01776332811</v>
      </c>
      <c r="R23" s="397">
        <f>-'Proj_FinEkonAnalize '!T61*NPV_Bāze_I!$C$23</f>
        <v>-121165.58363596632</v>
      </c>
      <c r="S23" s="397">
        <f>-'Proj_FinEkonAnalize '!U61*NPV_Bāze_I!$C$23</f>
        <v>-120253.99303807817</v>
      </c>
      <c r="T23" s="397">
        <f>-'Proj_FinEkonAnalize '!V61*NPV_Bāze_I!$C$23</f>
        <v>-119354.08949913732</v>
      </c>
      <c r="U23" s="397">
        <f>-'Proj_FinEkonAnalize '!W61*NPV_Bāze_I!$C$23</f>
        <v>-118460.02948967009</v>
      </c>
      <c r="V23" s="397">
        <f>-'Proj_FinEkonAnalize '!X61*NPV_Bāze_I!$C$23</f>
        <v>-117571.81300967651</v>
      </c>
      <c r="W23" s="397">
        <f>-'Proj_FinEkonAnalize '!Y61*NPV_Bāze_I!$C$23</f>
        <v>-116689.44005915656</v>
      </c>
      <c r="X23" s="397">
        <f>-'Proj_FinEkonAnalize '!Z61*NPV_Bāze_I!$C$23</f>
        <v>-115812.91063811025</v>
      </c>
      <c r="Y23" s="397">
        <f>-'Proj_FinEkonAnalize '!AA61*NPV_Bāze_I!$C$23</f>
        <v>-114942.22474653761</v>
      </c>
      <c r="Z23" s="398"/>
      <c r="AA23" s="391">
        <f t="shared" si="9"/>
        <v>-2448251.9914017799</v>
      </c>
      <c r="AB23" s="399"/>
      <c r="AC23" s="399"/>
      <c r="AD23" s="399"/>
      <c r="AE23" s="399"/>
      <c r="AF23" s="399"/>
      <c r="AG23" s="399"/>
      <c r="AH23" s="399"/>
      <c r="AI23" s="399"/>
      <c r="AJ23" s="399"/>
    </row>
    <row r="24" spans="1:36" s="468" customFormat="1" x14ac:dyDescent="0.2">
      <c r="B24" s="469" t="s">
        <v>357</v>
      </c>
      <c r="C24" s="475">
        <v>0.5</v>
      </c>
      <c r="D24" s="471" t="s">
        <v>161</v>
      </c>
      <c r="E24" s="472"/>
      <c r="F24" s="472">
        <f>-ROUND(2500*12*0.5*(1+'Proj_FinEkonAnalize '!H5),-2)</f>
        <v>-15300</v>
      </c>
      <c r="G24" s="472">
        <f>ROUND(F24*(1+'Proj_FinEkonAnalize '!I5),-2)</f>
        <v>-15600</v>
      </c>
      <c r="H24" s="472">
        <f>ROUND(G24*(1+'Proj_FinEkonAnalize '!J5),-2)</f>
        <v>-15900</v>
      </c>
      <c r="I24" s="472">
        <f>ROUND(H24*(1+'Proj_FinEkonAnalize '!K5),-2)</f>
        <v>-16200</v>
      </c>
      <c r="J24" s="472">
        <f>ROUND(I24*(1+'Proj_FinEkonAnalize '!L5),-2)</f>
        <v>-16500</v>
      </c>
      <c r="K24" s="472">
        <f>ROUND(J24*(1+'Proj_FinEkonAnalize '!M5),-2)</f>
        <v>-16800</v>
      </c>
      <c r="L24" s="472">
        <f>ROUND(K24*(1+'Proj_FinEkonAnalize '!N5),-2)</f>
        <v>-17200</v>
      </c>
      <c r="M24" s="472">
        <f>ROUND(L24*(1+'Proj_FinEkonAnalize '!O5),-2)</f>
        <v>-17600</v>
      </c>
      <c r="N24" s="472">
        <f>ROUND(M24*(1+'Proj_FinEkonAnalize '!P5),-2)</f>
        <v>-18000</v>
      </c>
      <c r="O24" s="472">
        <f>ROUND(N24*(1+'Proj_FinEkonAnalize '!Q5),-2)</f>
        <v>-18400</v>
      </c>
      <c r="P24" s="472">
        <f>ROUND(O24*(1+'Proj_FinEkonAnalize '!R5),-2)</f>
        <v>-18800</v>
      </c>
      <c r="Q24" s="472">
        <f>ROUND(P24*(1+'Proj_FinEkonAnalize '!S5),-2)</f>
        <v>-19200</v>
      </c>
      <c r="R24" s="472">
        <f>ROUND(Q24*(1+'Proj_FinEkonAnalize '!T5),-2)</f>
        <v>-19600</v>
      </c>
      <c r="S24" s="472">
        <f>ROUND(R24*(1+'Proj_FinEkonAnalize '!U5),-2)</f>
        <v>-20000</v>
      </c>
      <c r="T24" s="472">
        <f>ROUND(S24*(1+'Proj_FinEkonAnalize '!V5),-2)</f>
        <v>-20400</v>
      </c>
      <c r="U24" s="472">
        <f>ROUND(T24*(1+'Proj_FinEkonAnalize '!W5),-2)</f>
        <v>-20800</v>
      </c>
      <c r="V24" s="472">
        <f>ROUND(U24*(1+'Proj_FinEkonAnalize '!X5),-2)</f>
        <v>-21200</v>
      </c>
      <c r="W24" s="472">
        <f>ROUND(V24*(1+'Proj_FinEkonAnalize '!Y5),-2)</f>
        <v>-21600</v>
      </c>
      <c r="X24" s="472">
        <f>ROUND(W24*(1+'Proj_FinEkonAnalize '!Z5),-2)</f>
        <v>-22100</v>
      </c>
      <c r="Y24" s="472">
        <f>ROUND(X24*(1+'Proj_FinEkonAnalize '!AA5),-2)</f>
        <v>-22600</v>
      </c>
      <c r="Z24" s="473"/>
      <c r="AA24" s="478">
        <f t="shared" si="9"/>
        <v>-373800</v>
      </c>
      <c r="AB24" s="474"/>
      <c r="AC24" s="474"/>
      <c r="AD24" s="474"/>
      <c r="AE24" s="474"/>
      <c r="AF24" s="474"/>
      <c r="AG24" s="474"/>
      <c r="AH24" s="474"/>
      <c r="AI24" s="474"/>
      <c r="AJ24" s="474"/>
    </row>
    <row r="25" spans="1:36" x14ac:dyDescent="0.2">
      <c r="B25" s="393"/>
      <c r="C25" s="453"/>
      <c r="D25" s="389" t="s">
        <v>161</v>
      </c>
      <c r="E25" s="394"/>
      <c r="F25" s="394"/>
      <c r="G25" s="394"/>
      <c r="H25" s="394"/>
      <c r="I25" s="394"/>
      <c r="J25" s="394"/>
      <c r="K25" s="394"/>
      <c r="L25" s="394"/>
      <c r="M25" s="394"/>
      <c r="N25" s="394"/>
      <c r="O25" s="394"/>
      <c r="P25" s="394"/>
      <c r="Q25" s="394"/>
      <c r="R25" s="394"/>
      <c r="S25" s="394"/>
      <c r="T25" s="394"/>
      <c r="U25" s="394"/>
      <c r="V25" s="394"/>
      <c r="W25" s="394"/>
      <c r="X25" s="394"/>
      <c r="Y25" s="394"/>
      <c r="Z25" s="392"/>
      <c r="AA25" s="391">
        <f t="shared" si="9"/>
        <v>0</v>
      </c>
      <c r="AB25" s="381"/>
      <c r="AC25" s="381"/>
      <c r="AD25" s="381"/>
      <c r="AE25" s="381"/>
      <c r="AF25" s="381"/>
      <c r="AG25" s="381"/>
      <c r="AH25" s="381"/>
      <c r="AI25" s="381"/>
      <c r="AJ25" s="381"/>
    </row>
    <row r="26" spans="1:36" x14ac:dyDescent="0.2">
      <c r="B26" s="400" t="s">
        <v>152</v>
      </c>
      <c r="C26" s="453"/>
      <c r="D26" s="389"/>
      <c r="E26" s="391">
        <f>SUM(E27:E30)</f>
        <v>-286848.19394560001</v>
      </c>
      <c r="F26" s="391">
        <f>SUM(F27:F30)</f>
        <v>-1144948.7326833778</v>
      </c>
      <c r="G26" s="391">
        <f t="shared" ref="G26:X26" si="10">SUM(G27:G30)</f>
        <v>-1114376.7111338666</v>
      </c>
      <c r="H26" s="391">
        <f t="shared" si="10"/>
        <v>-1083804.6895843556</v>
      </c>
      <c r="I26" s="391">
        <f t="shared" si="10"/>
        <v>-1053232.6680348443</v>
      </c>
      <c r="J26" s="391">
        <f t="shared" si="10"/>
        <v>-1022760.6464853333</v>
      </c>
      <c r="K26" s="391">
        <f t="shared" si="10"/>
        <v>-992288.62493582221</v>
      </c>
      <c r="L26" s="391">
        <f t="shared" si="10"/>
        <v>-961816.60338631109</v>
      </c>
      <c r="M26" s="391">
        <f t="shared" si="10"/>
        <v>-931444.58183679997</v>
      </c>
      <c r="N26" s="391">
        <f t="shared" si="10"/>
        <v>-901072.56028728886</v>
      </c>
      <c r="O26" s="391">
        <f t="shared" si="10"/>
        <v>-73900</v>
      </c>
      <c r="P26" s="391">
        <f t="shared" si="10"/>
        <v>-75500</v>
      </c>
      <c r="Q26" s="391">
        <f t="shared" si="10"/>
        <v>-77100</v>
      </c>
      <c r="R26" s="391">
        <f t="shared" si="10"/>
        <v>-78700</v>
      </c>
      <c r="S26" s="391">
        <f t="shared" si="10"/>
        <v>-80400</v>
      </c>
      <c r="T26" s="391">
        <f t="shared" si="10"/>
        <v>-82100</v>
      </c>
      <c r="U26" s="391">
        <f t="shared" si="10"/>
        <v>-83800</v>
      </c>
      <c r="V26" s="391">
        <f t="shared" si="10"/>
        <v>-85600</v>
      </c>
      <c r="W26" s="391">
        <f t="shared" si="10"/>
        <v>-87400</v>
      </c>
      <c r="X26" s="391">
        <f t="shared" si="10"/>
        <v>-89200</v>
      </c>
      <c r="Y26" s="391">
        <f t="shared" ref="Y26" si="11">SUM(Y27:Y30)</f>
        <v>-91100</v>
      </c>
      <c r="Z26" s="392"/>
      <c r="AA26" s="391">
        <f t="shared" si="9"/>
        <v>-10397394.012313601</v>
      </c>
      <c r="AB26" s="381"/>
      <c r="AC26" s="381"/>
      <c r="AD26" s="381"/>
      <c r="AE26" s="381"/>
      <c r="AF26" s="381"/>
      <c r="AG26" s="381"/>
      <c r="AH26" s="381"/>
      <c r="AI26" s="381"/>
      <c r="AJ26" s="381"/>
    </row>
    <row r="27" spans="1:36" s="468" customFormat="1" x14ac:dyDescent="0.2">
      <c r="B27" s="469" t="s">
        <v>360</v>
      </c>
      <c r="C27" s="470">
        <v>2</v>
      </c>
      <c r="D27" s="471" t="s">
        <v>161</v>
      </c>
      <c r="E27" s="472"/>
      <c r="F27" s="472">
        <f>-ROUND(2500*12*C27*(1+'Proj_FinEkonAnalize '!H5),-2)</f>
        <v>-61300</v>
      </c>
      <c r="G27" s="472">
        <f>ROUND(F27*(1+'Proj_FinEkonAnalize '!I5),-2)</f>
        <v>-62600</v>
      </c>
      <c r="H27" s="472">
        <f>ROUND(G27*(1+'Proj_FinEkonAnalize '!J5),-2)</f>
        <v>-63900</v>
      </c>
      <c r="I27" s="472">
        <f>ROUND(H27*(1+'Proj_FinEkonAnalize '!K5),-2)</f>
        <v>-65200</v>
      </c>
      <c r="J27" s="472">
        <f>ROUND(I27*(1+'Proj_FinEkonAnalize '!L5),-2)</f>
        <v>-66600</v>
      </c>
      <c r="K27" s="472">
        <f>ROUND(J27*(1+'Proj_FinEkonAnalize '!M5),-2)</f>
        <v>-68000</v>
      </c>
      <c r="L27" s="472">
        <f>ROUND(K27*(1+'Proj_FinEkonAnalize '!N5),-2)</f>
        <v>-69400</v>
      </c>
      <c r="M27" s="472">
        <f>ROUND(L27*(1+'Proj_FinEkonAnalize '!O5),-2)</f>
        <v>-70900</v>
      </c>
      <c r="N27" s="472">
        <f>ROUND(M27*(1+'Proj_FinEkonAnalize '!P5),-2)</f>
        <v>-72400</v>
      </c>
      <c r="O27" s="472">
        <f>ROUND(N27*(1+'Proj_FinEkonAnalize '!Q5),-2)</f>
        <v>-73900</v>
      </c>
      <c r="P27" s="472">
        <f>ROUND(O27*(1+'Proj_FinEkonAnalize '!R5),-2)</f>
        <v>-75500</v>
      </c>
      <c r="Q27" s="472">
        <f>ROUND(P27*(1+'Proj_FinEkonAnalize '!S5),-2)</f>
        <v>-77100</v>
      </c>
      <c r="R27" s="472">
        <f>ROUND(Q27*(1+'Proj_FinEkonAnalize '!T5),-2)</f>
        <v>-78700</v>
      </c>
      <c r="S27" s="472">
        <f>ROUND(R27*(1+'Proj_FinEkonAnalize '!U5),-2)</f>
        <v>-80400</v>
      </c>
      <c r="T27" s="472">
        <f>ROUND(S27*(1+'Proj_FinEkonAnalize '!V5),-2)</f>
        <v>-82100</v>
      </c>
      <c r="U27" s="472">
        <f>ROUND(T27*(1+'Proj_FinEkonAnalize '!W5),-2)</f>
        <v>-83800</v>
      </c>
      <c r="V27" s="472">
        <f>ROUND(U27*(1+'Proj_FinEkonAnalize '!X5),-2)</f>
        <v>-85600</v>
      </c>
      <c r="W27" s="472">
        <f>ROUND(V27*(1+'Proj_FinEkonAnalize '!Y5),-2)</f>
        <v>-87400</v>
      </c>
      <c r="X27" s="472">
        <f>ROUND(W27*(1+'Proj_FinEkonAnalize '!Z5),-2)</f>
        <v>-89200</v>
      </c>
      <c r="Y27" s="472">
        <f>ROUND(X27*(1+'Proj_FinEkonAnalize '!AA5),-2)</f>
        <v>-91100</v>
      </c>
      <c r="Z27" s="473"/>
      <c r="AA27" s="478">
        <f t="shared" si="9"/>
        <v>-1505100</v>
      </c>
      <c r="AB27" s="474"/>
      <c r="AC27" s="474"/>
      <c r="AD27" s="474"/>
      <c r="AE27" s="474"/>
      <c r="AF27" s="474"/>
      <c r="AG27" s="474"/>
      <c r="AH27" s="474"/>
      <c r="AI27" s="474"/>
      <c r="AJ27" s="474"/>
    </row>
    <row r="28" spans="1:36" s="378" customFormat="1" x14ac:dyDescent="0.2">
      <c r="A28" s="401"/>
      <c r="B28" s="395"/>
      <c r="C28" s="454"/>
      <c r="D28" s="396"/>
      <c r="E28" s="397"/>
      <c r="F28" s="397"/>
      <c r="G28" s="397"/>
      <c r="H28" s="397"/>
      <c r="I28" s="397"/>
      <c r="J28" s="397"/>
      <c r="K28" s="397"/>
      <c r="L28" s="397"/>
      <c r="M28" s="397"/>
      <c r="N28" s="397"/>
      <c r="O28" s="397"/>
      <c r="P28" s="397"/>
      <c r="Q28" s="397"/>
      <c r="R28" s="397"/>
      <c r="S28" s="397"/>
      <c r="T28" s="397"/>
      <c r="U28" s="397"/>
      <c r="V28" s="397"/>
      <c r="W28" s="397"/>
      <c r="X28" s="397"/>
      <c r="Y28" s="397"/>
      <c r="Z28" s="398"/>
      <c r="AA28" s="391">
        <f t="shared" si="9"/>
        <v>0</v>
      </c>
      <c r="AB28" s="399"/>
      <c r="AC28" s="399"/>
      <c r="AD28" s="399"/>
      <c r="AE28" s="399"/>
      <c r="AF28" s="399"/>
      <c r="AG28" s="399"/>
      <c r="AH28" s="399"/>
      <c r="AI28" s="399"/>
      <c r="AJ28" s="399"/>
    </row>
    <row r="29" spans="1:36" x14ac:dyDescent="0.2">
      <c r="A29" s="401"/>
      <c r="B29" s="393" t="s">
        <v>307</v>
      </c>
      <c r="C29" s="453"/>
      <c r="D29" s="389" t="s">
        <v>161</v>
      </c>
      <c r="E29" s="394">
        <f>-Projekts!D67</f>
        <v>0</v>
      </c>
      <c r="F29" s="394">
        <f>-Projekts!E67</f>
        <v>-796800.53873777774</v>
      </c>
      <c r="G29" s="394">
        <f>-Projekts!F67</f>
        <v>-796800.53873777774</v>
      </c>
      <c r="H29" s="394">
        <f>-Projekts!G67</f>
        <v>-796800.53873777774</v>
      </c>
      <c r="I29" s="394">
        <f>-Projekts!H67</f>
        <v>-796800.53873777774</v>
      </c>
      <c r="J29" s="394">
        <f>-Projekts!I67</f>
        <v>-796800.53873777774</v>
      </c>
      <c r="K29" s="394">
        <f>-Projekts!J67</f>
        <v>-796800.53873777774</v>
      </c>
      <c r="L29" s="394">
        <f>-Projekts!K67</f>
        <v>-796800.53873777774</v>
      </c>
      <c r="M29" s="394">
        <f>-Projekts!L67</f>
        <v>-796800.53873777774</v>
      </c>
      <c r="N29" s="394">
        <f>-Projekts!M67</f>
        <v>-796800.53873777774</v>
      </c>
      <c r="O29" s="394">
        <f>-Projekts!N69</f>
        <v>0</v>
      </c>
      <c r="P29" s="394">
        <f>-Projekts!O69</f>
        <v>0</v>
      </c>
      <c r="Q29" s="394">
        <f>-Projekts!P69</f>
        <v>0</v>
      </c>
      <c r="R29" s="394">
        <f>-Projekts!Q69</f>
        <v>0</v>
      </c>
      <c r="S29" s="394">
        <f>-Projekts!R69</f>
        <v>0</v>
      </c>
      <c r="T29" s="394">
        <f>-Projekts!S69</f>
        <v>0</v>
      </c>
      <c r="U29" s="394">
        <f>-Projekts!T69</f>
        <v>0</v>
      </c>
      <c r="V29" s="394">
        <f>-Projekts!U69</f>
        <v>0</v>
      </c>
      <c r="W29" s="394">
        <f>-Projekts!V69</f>
        <v>0</v>
      </c>
      <c r="X29" s="394">
        <f>-Projekts!W69</f>
        <v>0</v>
      </c>
      <c r="Y29" s="394">
        <f>-Projekts!X69</f>
        <v>0</v>
      </c>
      <c r="Z29" s="392"/>
      <c r="AA29" s="391">
        <f t="shared" si="9"/>
        <v>-7171204.8486399995</v>
      </c>
      <c r="AB29" s="381"/>
      <c r="AC29" s="381"/>
      <c r="AD29" s="381"/>
      <c r="AE29" s="381"/>
      <c r="AF29" s="381"/>
      <c r="AG29" s="381"/>
      <c r="AH29" s="381"/>
      <c r="AI29" s="381"/>
      <c r="AJ29" s="381"/>
    </row>
    <row r="30" spans="1:36" x14ac:dyDescent="0.2">
      <c r="A30" s="401"/>
      <c r="B30" s="393" t="s">
        <v>308</v>
      </c>
      <c r="C30" s="453"/>
      <c r="D30" s="389" t="s">
        <v>161</v>
      </c>
      <c r="E30" s="394">
        <f>-Projekts!D69</f>
        <v>-286848.19394560001</v>
      </c>
      <c r="F30" s="394">
        <f>-Projekts!E69</f>
        <v>-286848.19394560001</v>
      </c>
      <c r="G30" s="394">
        <f>-Projekts!F69</f>
        <v>-254976.17239608889</v>
      </c>
      <c r="H30" s="394">
        <f>-Projekts!G69</f>
        <v>-223104.15084657777</v>
      </c>
      <c r="I30" s="394">
        <f>-Projekts!H69</f>
        <v>-191232.12929706668</v>
      </c>
      <c r="J30" s="394">
        <f>-Projekts!I69</f>
        <v>-159360.10774755556</v>
      </c>
      <c r="K30" s="394">
        <f>-Projekts!J69</f>
        <v>-127488.08619804446</v>
      </c>
      <c r="L30" s="394">
        <f>-Projekts!K69</f>
        <v>-95616.064648533356</v>
      </c>
      <c r="M30" s="394">
        <f>-Projekts!L69</f>
        <v>-63744.043099022245</v>
      </c>
      <c r="N30" s="394">
        <f>-Projekts!M69</f>
        <v>-31872.021549511137</v>
      </c>
      <c r="O30" s="394">
        <f>-Projekts!N69</f>
        <v>0</v>
      </c>
      <c r="P30" s="394">
        <f>-Projekts!O69</f>
        <v>0</v>
      </c>
      <c r="Q30" s="394">
        <f>-Projekts!P69</f>
        <v>0</v>
      </c>
      <c r="R30" s="394">
        <f>-Projekts!Q69</f>
        <v>0</v>
      </c>
      <c r="S30" s="394">
        <f>-Projekts!R69</f>
        <v>0</v>
      </c>
      <c r="T30" s="394">
        <f>-Projekts!S69</f>
        <v>0</v>
      </c>
      <c r="U30" s="394">
        <f>-Projekts!T69</f>
        <v>0</v>
      </c>
      <c r="V30" s="394">
        <f>-Projekts!U69</f>
        <v>0</v>
      </c>
      <c r="W30" s="394">
        <f>-Projekts!V69</f>
        <v>0</v>
      </c>
      <c r="X30" s="394">
        <f>-Projekts!W69</f>
        <v>0</v>
      </c>
      <c r="Y30" s="394">
        <f>-Projekts!X69</f>
        <v>0</v>
      </c>
      <c r="Z30" s="392"/>
      <c r="AA30" s="391">
        <f t="shared" si="9"/>
        <v>-1721089.1636735999</v>
      </c>
      <c r="AB30" s="381"/>
      <c r="AC30" s="381"/>
      <c r="AD30" s="381"/>
      <c r="AE30" s="381"/>
      <c r="AF30" s="381"/>
      <c r="AG30" s="381"/>
      <c r="AH30" s="381"/>
      <c r="AI30" s="381"/>
      <c r="AJ30" s="381"/>
    </row>
    <row r="31" spans="1:36" x14ac:dyDescent="0.2">
      <c r="A31" s="401"/>
      <c r="B31" s="402"/>
      <c r="C31" s="453"/>
      <c r="D31" s="389"/>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81"/>
      <c r="AC31" s="381"/>
      <c r="AD31" s="381"/>
      <c r="AE31" s="381"/>
      <c r="AF31" s="381"/>
      <c r="AG31" s="381"/>
      <c r="AH31" s="381"/>
      <c r="AI31" s="381"/>
      <c r="AJ31" s="381"/>
    </row>
    <row r="32" spans="1:36" x14ac:dyDescent="0.2">
      <c r="A32" s="401"/>
      <c r="B32" s="390" t="s">
        <v>153</v>
      </c>
      <c r="C32" s="453"/>
      <c r="D32" s="389"/>
      <c r="E32" s="391">
        <f>SUM(E33:E36)</f>
        <v>7171204.8486399995</v>
      </c>
      <c r="F32" s="391">
        <f t="shared" ref="F32:X32" si="12">SUM(F33:F36)</f>
        <v>2875608.4682805329</v>
      </c>
      <c r="G32" s="391">
        <f t="shared" si="12"/>
        <v>2863653.5291020218</v>
      </c>
      <c r="H32" s="391">
        <f t="shared" si="12"/>
        <v>2852348.6937464033</v>
      </c>
      <c r="I32" s="391">
        <f t="shared" si="12"/>
        <v>2841686.8013435993</v>
      </c>
      <c r="J32" s="391">
        <f t="shared" si="12"/>
        <v>2831721.709604199</v>
      </c>
      <c r="K32" s="391">
        <f t="shared" si="12"/>
        <v>2822385.8470550524</v>
      </c>
      <c r="L32" s="391">
        <f t="shared" si="12"/>
        <v>2813673.407066741</v>
      </c>
      <c r="M32" s="391">
        <f t="shared" si="12"/>
        <v>2805579.0077088443</v>
      </c>
      <c r="N32" s="391">
        <f t="shared" si="12"/>
        <v>2811976.5851503354</v>
      </c>
      <c r="O32" s="391">
        <f t="shared" si="12"/>
        <v>2805162.1308101704</v>
      </c>
      <c r="P32" s="391">
        <f t="shared" si="12"/>
        <v>2798951.3171094954</v>
      </c>
      <c r="Q32" s="391">
        <f t="shared" si="12"/>
        <v>2793340.3791303355</v>
      </c>
      <c r="R32" s="391">
        <f t="shared" si="12"/>
        <v>2795509.372695691</v>
      </c>
      <c r="S32" s="391">
        <f t="shared" si="12"/>
        <v>2798079.1100160875</v>
      </c>
      <c r="T32" s="391">
        <f t="shared" si="12"/>
        <v>2801109.3952954323</v>
      </c>
      <c r="U32" s="391">
        <f t="shared" si="12"/>
        <v>2804544.2592293564</v>
      </c>
      <c r="V32" s="391">
        <f t="shared" si="12"/>
        <v>2808385.9967583241</v>
      </c>
      <c r="W32" s="391">
        <f t="shared" si="12"/>
        <v>2812637.1503334981</v>
      </c>
      <c r="X32" s="391">
        <f t="shared" si="12"/>
        <v>2854466.591704336</v>
      </c>
      <c r="Y32" s="391">
        <f t="shared" ref="Y32" si="13">SUM(Y33:Y36)</f>
        <v>2631416.993417623</v>
      </c>
      <c r="Z32" s="392"/>
      <c r="AA32" s="391">
        <f>SUM(E32:Y32)</f>
        <v>63393441.594198078</v>
      </c>
      <c r="AB32" s="381"/>
      <c r="AC32" s="381"/>
      <c r="AD32" s="381"/>
      <c r="AE32" s="381"/>
      <c r="AF32" s="381"/>
      <c r="AG32" s="381"/>
      <c r="AH32" s="381"/>
      <c r="AI32" s="381"/>
      <c r="AJ32" s="381"/>
    </row>
    <row r="33" spans="1:36" x14ac:dyDescent="0.2">
      <c r="B33" s="393" t="str">
        <f>Projekts!B17</f>
        <v>Ienākums no privātā sektora</v>
      </c>
      <c r="C33" s="455">
        <f>F40</f>
        <v>0.272467835190775</v>
      </c>
      <c r="D33" s="389" t="s">
        <v>162</v>
      </c>
      <c r="E33" s="394">
        <f>Projekts!D17</f>
        <v>0</v>
      </c>
      <c r="F33" s="394">
        <f>Projekts!E17*(1+$C$33)</f>
        <v>2598966.9451591913</v>
      </c>
      <c r="G33" s="394">
        <f>Projekts!F17*(1+$C$33)</f>
        <v>2588162.1043406092</v>
      </c>
      <c r="H33" s="394">
        <f>Projekts!G17*(1+$C$33)</f>
        <v>2577944.8255511611</v>
      </c>
      <c r="I33" s="394">
        <f>Projekts!H17*(1+$C$33)</f>
        <v>2568308.6368163642</v>
      </c>
      <c r="J33" s="394">
        <f>Projekts!I17*(1+$C$33)</f>
        <v>2559302.2145854314</v>
      </c>
      <c r="K33" s="394">
        <f>Projekts!J17*(1+$C$33)</f>
        <v>2550864.487948644</v>
      </c>
      <c r="L33" s="394">
        <f>Projekts!K17*(1+$C$33)</f>
        <v>2542990.2088904646</v>
      </c>
      <c r="M33" s="394">
        <f>Projekts!L17*(1+$C$33)</f>
        <v>2535674.5132371304</v>
      </c>
      <c r="N33" s="394">
        <f>Projekts!M17*(1+$C$33)</f>
        <v>2541456.625956208</v>
      </c>
      <c r="O33" s="394">
        <f>Projekts!N17*(1+$C$33)</f>
        <v>2535297.7410541978</v>
      </c>
      <c r="P33" s="394">
        <f>Projekts!O17*(1+$C$33)</f>
        <v>2529684.4248852381</v>
      </c>
      <c r="Q33" s="394">
        <f>Projekts!P17*(1+$C$33)</f>
        <v>2524613.2747269222</v>
      </c>
      <c r="R33" s="394">
        <f>Projekts!Q17*(1+$C$33)</f>
        <v>2526573.6050858018</v>
      </c>
      <c r="S33" s="394">
        <f>Projekts!R17*(1+$C$33)</f>
        <v>2528896.1265372173</v>
      </c>
      <c r="T33" s="394">
        <f>Projekts!S17*(1+$C$33)</f>
        <v>2531634.8899545223</v>
      </c>
      <c r="U33" s="394">
        <f>Projekts!T17*(1+$C$33)</f>
        <v>2534739.3104359121</v>
      </c>
      <c r="V33" s="394">
        <f>Projekts!U17*(1+$C$33)</f>
        <v>2538211.462142203</v>
      </c>
      <c r="W33" s="394">
        <f>Projekts!V17*(1+$C$33)</f>
        <v>2542053.6429336928</v>
      </c>
      <c r="X33" s="394">
        <f>Projekts!W17*(1+$C$33)</f>
        <v>2579858.9758419963</v>
      </c>
      <c r="Y33" s="394">
        <f>Projekts!X17*(1+$C$33)</f>
        <v>2378267.3685447644</v>
      </c>
      <c r="Z33" s="392"/>
      <c r="AA33" s="391">
        <f t="shared" ref="AA33:AA36" si="14">SUM(E33:Y33)</f>
        <v>50813501.384627678</v>
      </c>
      <c r="AB33" s="381"/>
      <c r="AC33" s="381"/>
      <c r="AD33" s="381"/>
      <c r="AE33" s="381"/>
      <c r="AF33" s="381"/>
      <c r="AG33" s="381"/>
      <c r="AH33" s="381"/>
      <c r="AI33" s="381"/>
      <c r="AJ33" s="381"/>
    </row>
    <row r="34" spans="1:36" x14ac:dyDescent="0.2">
      <c r="B34" s="393" t="s">
        <v>504</v>
      </c>
      <c r="C34" s="381"/>
      <c r="D34" s="389" t="s">
        <v>162</v>
      </c>
      <c r="E34" s="394"/>
      <c r="F34" s="430">
        <f>Projekts!E20*(1+$C$33)</f>
        <v>276641.52312134148</v>
      </c>
      <c r="G34" s="430">
        <f>Projekts!F20*(1+$C$33)</f>
        <v>275491.4247614129</v>
      </c>
      <c r="H34" s="430">
        <f>Projekts!G20*(1+$C$33)</f>
        <v>274403.86819524225</v>
      </c>
      <c r="I34" s="430">
        <f>Projekts!H20*(1+$C$33)</f>
        <v>273378.16452723526</v>
      </c>
      <c r="J34" s="430">
        <f>Projekts!I20*(1+$C$33)</f>
        <v>272419.49501876766</v>
      </c>
      <c r="K34" s="430">
        <f>Projekts!J20*(1+$C$33)</f>
        <v>271521.35910640826</v>
      </c>
      <c r="L34" s="430">
        <f>Projekts!K20*(1+$C$33)</f>
        <v>270683.19817627617</v>
      </c>
      <c r="M34" s="430">
        <f>Projekts!L20*(1+$C$33)</f>
        <v>269904.49447171378</v>
      </c>
      <c r="N34" s="430">
        <f>Projekts!M20*(1+$C$33)</f>
        <v>270519.95919412759</v>
      </c>
      <c r="O34" s="430">
        <f>Projekts!N20*(1+$C$33)</f>
        <v>269864.38975597278</v>
      </c>
      <c r="P34" s="430">
        <f>Projekts!O20*(1+$C$33)</f>
        <v>269266.89222425729</v>
      </c>
      <c r="Q34" s="430">
        <f>Projekts!P20*(1+$C$33)</f>
        <v>268727.10440341313</v>
      </c>
      <c r="R34" s="430">
        <f>Projekts!Q20*(1+$C$33)</f>
        <v>268935.76760988892</v>
      </c>
      <c r="S34" s="430">
        <f>Projekts!R20*(1+$C$33)</f>
        <v>269182.9834788703</v>
      </c>
      <c r="T34" s="430">
        <f>Projekts!S20*(1+$C$33)</f>
        <v>269474.50534090988</v>
      </c>
      <c r="U34" s="430">
        <f>Projekts!T20*(1+$C$33)</f>
        <v>269804.94879344414</v>
      </c>
      <c r="V34" s="430">
        <f>Projekts!U20*(1+$C$33)</f>
        <v>270174.53461612109</v>
      </c>
      <c r="W34" s="430">
        <f>Projekts!V20*(1+$C$33)</f>
        <v>270583.50739980541</v>
      </c>
      <c r="X34" s="430">
        <f>Projekts!W20*(1+$C$33)</f>
        <v>274607.61586233985</v>
      </c>
      <c r="Y34" s="430">
        <f>Projekts!X20*(1+$C$33)</f>
        <v>253149.62487285855</v>
      </c>
      <c r="Z34" s="392"/>
      <c r="AA34" s="391">
        <f t="shared" si="14"/>
        <v>5408735.3609304065</v>
      </c>
      <c r="AB34" s="381"/>
      <c r="AC34" s="381"/>
      <c r="AD34" s="381"/>
      <c r="AE34" s="381"/>
      <c r="AF34" s="381"/>
      <c r="AG34" s="381"/>
      <c r="AH34" s="381"/>
      <c r="AI34" s="381"/>
      <c r="AJ34" s="381"/>
    </row>
    <row r="35" spans="1:36" x14ac:dyDescent="0.2">
      <c r="B35" s="393"/>
      <c r="C35" s="381"/>
      <c r="D35" s="389" t="s">
        <v>162</v>
      </c>
      <c r="E35" s="394"/>
      <c r="F35" s="394"/>
      <c r="G35" s="394"/>
      <c r="H35" s="394"/>
      <c r="I35" s="394"/>
      <c r="J35" s="394"/>
      <c r="K35" s="394"/>
      <c r="L35" s="394"/>
      <c r="M35" s="394"/>
      <c r="N35" s="394"/>
      <c r="O35" s="394"/>
      <c r="P35" s="394"/>
      <c r="Q35" s="394"/>
      <c r="R35" s="394"/>
      <c r="S35" s="394"/>
      <c r="T35" s="394"/>
      <c r="U35" s="394"/>
      <c r="V35" s="394"/>
      <c r="W35" s="394"/>
      <c r="X35" s="394"/>
      <c r="Y35" s="394"/>
      <c r="Z35" s="392"/>
      <c r="AA35" s="391">
        <f t="shared" si="14"/>
        <v>0</v>
      </c>
      <c r="AB35" s="381"/>
      <c r="AC35" s="381"/>
      <c r="AD35" s="381"/>
      <c r="AE35" s="381"/>
      <c r="AF35" s="381"/>
      <c r="AG35" s="381"/>
      <c r="AH35" s="381"/>
      <c r="AI35" s="381"/>
      <c r="AJ35" s="381"/>
    </row>
    <row r="36" spans="1:36" x14ac:dyDescent="0.2">
      <c r="B36" s="393" t="s">
        <v>306</v>
      </c>
      <c r="C36" s="381"/>
      <c r="D36" s="389" t="s">
        <v>162</v>
      </c>
      <c r="E36" s="394">
        <f>Projekts!C64</f>
        <v>7171204.8486399995</v>
      </c>
      <c r="F36" s="394"/>
      <c r="G36" s="394"/>
      <c r="H36" s="394"/>
      <c r="I36" s="394"/>
      <c r="J36" s="394"/>
      <c r="K36" s="394"/>
      <c r="L36" s="394"/>
      <c r="M36" s="394"/>
      <c r="N36" s="394"/>
      <c r="O36" s="394"/>
      <c r="P36" s="394"/>
      <c r="Q36" s="394"/>
      <c r="R36" s="394"/>
      <c r="S36" s="394"/>
      <c r="T36" s="394"/>
      <c r="U36" s="394"/>
      <c r="V36" s="394"/>
      <c r="W36" s="394"/>
      <c r="X36" s="394"/>
      <c r="Y36" s="394"/>
      <c r="Z36" s="392"/>
      <c r="AA36" s="391">
        <f t="shared" si="14"/>
        <v>7171204.8486399995</v>
      </c>
      <c r="AB36" s="381"/>
      <c r="AC36" s="381"/>
      <c r="AD36" s="381"/>
      <c r="AE36" s="381"/>
      <c r="AF36" s="381"/>
      <c r="AG36" s="381"/>
      <c r="AH36" s="381"/>
      <c r="AI36" s="381"/>
      <c r="AJ36" s="381"/>
    </row>
    <row r="37" spans="1:36" x14ac:dyDescent="0.2">
      <c r="B37" s="387"/>
      <c r="C37" s="381"/>
      <c r="D37" s="381"/>
      <c r="E37" s="392"/>
      <c r="F37" s="392">
        <f>F32/'Proj_FinEkonAnalize '!H88</f>
        <v>126.70669611282365</v>
      </c>
      <c r="G37" s="392">
        <f>G32/'Proj_FinEkonAnalize '!I88</f>
        <v>127.13223214659364</v>
      </c>
      <c r="H37" s="392">
        <f>H32/'Proj_FinEkonAnalize '!J88</f>
        <v>127.58761378361081</v>
      </c>
      <c r="I37" s="392">
        <f>I32/'Proj_FinEkonAnalize '!K88</f>
        <v>128.07313869405081</v>
      </c>
      <c r="J37" s="392">
        <f>J32/'Proj_FinEkonAnalize '!L88</f>
        <v>128.58603712670052</v>
      </c>
      <c r="K37" s="392">
        <f>K32/'Proj_FinEkonAnalize '!M88</f>
        <v>129.12960822871631</v>
      </c>
      <c r="L37" s="392">
        <f>L32/'Proj_FinEkonAnalize '!N88</f>
        <v>129.70420905668837</v>
      </c>
      <c r="M37" s="392">
        <f>M32/'Proj_FinEkonAnalize '!O88</f>
        <v>130.31021865809774</v>
      </c>
      <c r="N37" s="392">
        <f>N32/'Proj_FinEkonAnalize '!P88</f>
        <v>131.59139806028992</v>
      </c>
      <c r="O37" s="392">
        <f>O32/'Proj_FinEkonAnalize '!Q88</f>
        <v>132.26281912443633</v>
      </c>
      <c r="P37" s="392">
        <f>P32/'Proj_FinEkonAnalize '!R88</f>
        <v>132.96680841375274</v>
      </c>
      <c r="Q37" s="392">
        <f>Q32/'Proj_FinEkonAnalize '!S88</f>
        <v>133.70382821799424</v>
      </c>
      <c r="R37" s="392">
        <f>R32/'Proj_FinEkonAnalize '!T88</f>
        <v>134.82080408467283</v>
      </c>
      <c r="S37" s="392">
        <f>S32/'Proj_FinEkonAnalize '!U88</f>
        <v>135.96769085067726</v>
      </c>
      <c r="T37" s="392">
        <f>T32/'Proj_FinEkonAnalize '!V88</f>
        <v>137.14121886391345</v>
      </c>
      <c r="U37" s="392">
        <f>U32/'Proj_FinEkonAnalize '!W88</f>
        <v>138.34571128795167</v>
      </c>
      <c r="V37" s="392">
        <f>V32/'Proj_FinEkonAnalize '!X88</f>
        <v>139.58180898401213</v>
      </c>
      <c r="W37" s="392">
        <f>W32/'Proj_FinEkonAnalize '!Y88</f>
        <v>140.85017528837187</v>
      </c>
      <c r="X37" s="392">
        <f>X32/'Proj_FinEkonAnalize '!Z88</f>
        <v>144.02677187064614</v>
      </c>
      <c r="Y37" s="392">
        <f>Y32/'Proj_FinEkonAnalize '!AA88</f>
        <v>133.77818980262444</v>
      </c>
      <c r="Z37" s="392"/>
      <c r="AA37" s="392"/>
      <c r="AB37" s="381"/>
      <c r="AC37" s="381"/>
      <c r="AD37" s="381"/>
      <c r="AE37" s="381"/>
      <c r="AF37" s="381"/>
      <c r="AG37" s="381"/>
      <c r="AH37" s="381"/>
      <c r="AI37" s="381"/>
      <c r="AJ37" s="381"/>
    </row>
    <row r="38" spans="1:36" x14ac:dyDescent="0.2">
      <c r="B38" s="390" t="s">
        <v>344</v>
      </c>
      <c r="C38" s="381"/>
      <c r="D38" s="381"/>
      <c r="E38" s="391">
        <f>E14+E20+E32</f>
        <v>-1003968.6788096</v>
      </c>
      <c r="F38" s="391">
        <f>F14+F20+F32</f>
        <v>-266578.34503813135</v>
      </c>
      <c r="G38" s="391">
        <f>G14+G20+G32</f>
        <v>-237711.60746324761</v>
      </c>
      <c r="H38" s="391">
        <f t="shared" ref="H38:X38" si="15">H14+H20+H32</f>
        <v>-208807.07941383636</v>
      </c>
      <c r="I38" s="391">
        <f>I14+I20+I32</f>
        <v>-179766.29406015761</v>
      </c>
      <c r="J38" s="391">
        <f>J14+J20+J32</f>
        <v>-150683.4498734707</v>
      </c>
      <c r="K38" s="391">
        <f t="shared" si="15"/>
        <v>-121467.31553061772</v>
      </c>
      <c r="L38" s="391">
        <f t="shared" si="15"/>
        <v>-92219.133883112576</v>
      </c>
      <c r="M38" s="391">
        <f t="shared" si="15"/>
        <v>-62940.056633856613</v>
      </c>
      <c r="N38" s="391">
        <f t="shared" si="15"/>
        <v>-258638.71615328221</v>
      </c>
      <c r="O38" s="391">
        <f t="shared" si="15"/>
        <v>806540.50923221419</v>
      </c>
      <c r="P38" s="391">
        <f t="shared" si="15"/>
        <v>804140.7074301308</v>
      </c>
      <c r="Q38" s="391">
        <f t="shared" si="15"/>
        <v>801867.88386730943</v>
      </c>
      <c r="R38" s="391">
        <f t="shared" si="15"/>
        <v>801599.89517998975</v>
      </c>
      <c r="S38" s="391">
        <f t="shared" si="15"/>
        <v>801313.03037417168</v>
      </c>
      <c r="T38" s="391">
        <f t="shared" si="15"/>
        <v>801114.27584343893</v>
      </c>
      <c r="U38" s="391">
        <f t="shared" si="15"/>
        <v>800897.51548847137</v>
      </c>
      <c r="V38" s="391">
        <f t="shared" si="15"/>
        <v>800663.26606349624</v>
      </c>
      <c r="W38" s="391">
        <f t="shared" si="15"/>
        <v>800512.09785342542</v>
      </c>
      <c r="X38" s="391">
        <f t="shared" si="15"/>
        <v>194937.4152163039</v>
      </c>
      <c r="Y38" s="391">
        <f t="shared" ref="Y38" si="16">Y14+Y20+Y32</f>
        <v>609199.44725513598</v>
      </c>
      <c r="Z38" s="392"/>
      <c r="AA38" s="391">
        <f>SUM(E38:Y38)</f>
        <v>5440005.366944775</v>
      </c>
      <c r="AB38" s="381"/>
      <c r="AC38" s="381"/>
      <c r="AD38" s="381"/>
      <c r="AE38" s="381"/>
      <c r="AF38" s="381"/>
      <c r="AG38" s="381"/>
      <c r="AH38" s="381"/>
      <c r="AI38" s="381"/>
      <c r="AJ38" s="381"/>
    </row>
    <row r="39" spans="1:36" x14ac:dyDescent="0.2">
      <c r="B39" s="387"/>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92"/>
      <c r="AB39" s="381"/>
      <c r="AC39" s="381"/>
      <c r="AD39" s="381"/>
      <c r="AE39" s="381"/>
      <c r="AF39" s="381"/>
      <c r="AG39" s="381"/>
      <c r="AH39" s="381"/>
      <c r="AI39" s="381"/>
      <c r="AJ39" s="381"/>
    </row>
    <row r="40" spans="1:36" x14ac:dyDescent="0.2">
      <c r="B40" s="403" t="s">
        <v>157</v>
      </c>
      <c r="C40" s="381"/>
      <c r="D40" s="381"/>
      <c r="E40" s="466">
        <f>IRR(E38:Y38,0.1)</f>
        <v>0.10051515399637312</v>
      </c>
      <c r="F40" s="497">
        <v>0.272467835190775</v>
      </c>
      <c r="G40" s="381"/>
      <c r="H40" s="381"/>
      <c r="I40" s="381"/>
      <c r="J40" s="381"/>
      <c r="K40" s="381"/>
      <c r="L40" s="381"/>
      <c r="M40" s="381"/>
      <c r="N40" s="381"/>
      <c r="O40" s="381"/>
      <c r="P40" s="381"/>
      <c r="Q40" s="381"/>
      <c r="R40" s="381"/>
      <c r="S40" s="381"/>
      <c r="T40" s="381"/>
      <c r="U40" s="381"/>
      <c r="V40" s="381"/>
      <c r="W40" s="381"/>
      <c r="X40" s="381"/>
      <c r="Y40" s="381"/>
      <c r="Z40" s="381"/>
      <c r="AA40" s="392"/>
      <c r="AB40" s="381"/>
      <c r="AC40" s="381"/>
      <c r="AD40" s="381"/>
      <c r="AE40" s="381"/>
      <c r="AF40" s="381"/>
      <c r="AG40" s="381"/>
      <c r="AH40" s="381"/>
      <c r="AI40" s="381"/>
      <c r="AJ40" s="381"/>
    </row>
    <row r="41" spans="1:36" x14ac:dyDescent="0.2">
      <c r="B41" s="387"/>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92"/>
      <c r="AB41" s="381"/>
      <c r="AC41" s="381"/>
      <c r="AD41" s="381"/>
      <c r="AE41" s="381"/>
      <c r="AF41" s="381"/>
      <c r="AG41" s="381"/>
      <c r="AH41" s="381"/>
      <c r="AI41" s="381"/>
      <c r="AJ41" s="381"/>
    </row>
    <row r="42" spans="1:36" x14ac:dyDescent="0.2">
      <c r="B42" s="404" t="s">
        <v>158</v>
      </c>
      <c r="C42" s="405"/>
      <c r="D42" s="405"/>
      <c r="E42" s="406">
        <f>IFERROR(1/((1+$E$6+E11)^E10),"-")</f>
        <v>1</v>
      </c>
      <c r="F42" s="406">
        <f t="shared" ref="F42:X42" si="17">IFERROR(1/((1+$E$6+F11)^F10),"-")</f>
        <v>0.94339622641509424</v>
      </c>
      <c r="G42" s="406">
        <f t="shared" si="17"/>
        <v>0.88999644001423983</v>
      </c>
      <c r="H42" s="406">
        <f t="shared" si="17"/>
        <v>0.8396192830323016</v>
      </c>
      <c r="I42" s="406">
        <f t="shared" si="17"/>
        <v>0.79209366323802044</v>
      </c>
      <c r="J42" s="406">
        <f t="shared" si="17"/>
        <v>0.74725817286605689</v>
      </c>
      <c r="K42" s="406">
        <f t="shared" si="17"/>
        <v>0.70496054043967626</v>
      </c>
      <c r="L42" s="406">
        <f t="shared" si="17"/>
        <v>0.66505711362233599</v>
      </c>
      <c r="M42" s="406">
        <f t="shared" si="17"/>
        <v>0.62741237134182648</v>
      </c>
      <c r="N42" s="406">
        <f t="shared" si="17"/>
        <v>0.59189846353002495</v>
      </c>
      <c r="O42" s="406">
        <f t="shared" si="17"/>
        <v>0.55839477691511785</v>
      </c>
      <c r="P42" s="406">
        <f t="shared" si="17"/>
        <v>0.52678752539162055</v>
      </c>
      <c r="Q42" s="406">
        <f t="shared" si="17"/>
        <v>0.4969693635770005</v>
      </c>
      <c r="R42" s="406">
        <f t="shared" si="17"/>
        <v>0.46883902224245327</v>
      </c>
      <c r="S42" s="406">
        <f t="shared" si="17"/>
        <v>0.44230096437967292</v>
      </c>
      <c r="T42" s="406">
        <f t="shared" si="17"/>
        <v>0.41726506073554037</v>
      </c>
      <c r="U42" s="406">
        <f t="shared" si="17"/>
        <v>0.39364628371277405</v>
      </c>
      <c r="V42" s="406">
        <f t="shared" si="17"/>
        <v>0.37136441859695657</v>
      </c>
      <c r="W42" s="406">
        <f t="shared" si="17"/>
        <v>0.35034379112920433</v>
      </c>
      <c r="X42" s="406">
        <f t="shared" si="17"/>
        <v>0.3305130104992493</v>
      </c>
      <c r="Y42" s="406">
        <f t="shared" ref="Y42" si="18">IFERROR(1/((1+$E$6+Y11)^Y10),"-")</f>
        <v>0.31180472688608429</v>
      </c>
      <c r="Z42" s="381"/>
      <c r="AA42" s="407"/>
      <c r="AB42" s="381"/>
      <c r="AC42" s="381"/>
      <c r="AD42" s="381"/>
      <c r="AE42" s="381"/>
      <c r="AF42" s="381"/>
      <c r="AG42" s="381"/>
      <c r="AH42" s="381"/>
      <c r="AI42" s="381"/>
      <c r="AJ42" s="381"/>
    </row>
    <row r="43" spans="1:36" x14ac:dyDescent="0.2">
      <c r="B43" s="404" t="s">
        <v>159</v>
      </c>
      <c r="C43" s="405"/>
      <c r="D43" s="405"/>
      <c r="E43" s="391">
        <f>IFERROR(E38*E42,"-")</f>
        <v>-1003968.6788096</v>
      </c>
      <c r="F43" s="391">
        <f t="shared" ref="F43:X43" si="19">IFERROR(F38*F42,"-")</f>
        <v>-251489.00475295406</v>
      </c>
      <c r="G43" s="391">
        <f t="shared" si="19"/>
        <v>-211562.48439235278</v>
      </c>
      <c r="H43" s="391">
        <f t="shared" si="19"/>
        <v>-175318.45030951416</v>
      </c>
      <c r="I43" s="391">
        <f t="shared" si="19"/>
        <v>-142391.74238883343</v>
      </c>
      <c r="J43" s="391">
        <f t="shared" si="19"/>
        <v>-112599.43943360379</v>
      </c>
      <c r="K43" s="391">
        <f t="shared" si="19"/>
        <v>-85629.664402220951</v>
      </c>
      <c r="L43" s="391">
        <f t="shared" si="19"/>
        <v>-61330.991001054615</v>
      </c>
      <c r="M43" s="391">
        <f t="shared" si="19"/>
        <v>-39489.370185036838</v>
      </c>
      <c r="N43" s="391">
        <f t="shared" si="19"/>
        <v>-153087.85870050598</v>
      </c>
      <c r="O43" s="391">
        <f t="shared" si="19"/>
        <v>450368.0077257278</v>
      </c>
      <c r="P43" s="391">
        <f t="shared" si="19"/>
        <v>423611.29333378572</v>
      </c>
      <c r="Q43" s="391">
        <f t="shared" si="19"/>
        <v>398503.77191837289</v>
      </c>
      <c r="R43" s="391">
        <f t="shared" si="19"/>
        <v>375821.31108583941</v>
      </c>
      <c r="S43" s="391">
        <f t="shared" si="19"/>
        <v>354421.52610449429</v>
      </c>
      <c r="T43" s="391">
        <f t="shared" si="19"/>
        <v>334276.99696592096</v>
      </c>
      <c r="U43" s="391">
        <f t="shared" si="19"/>
        <v>315270.33060683066</v>
      </c>
      <c r="V43" s="391">
        <f t="shared" si="19"/>
        <v>297337.84829361062</v>
      </c>
      <c r="W43" s="391">
        <f t="shared" si="19"/>
        <v>280454.44320676167</v>
      </c>
      <c r="X43" s="391">
        <f t="shared" si="19"/>
        <v>64429.351962082772</v>
      </c>
      <c r="Y43" s="391">
        <f t="shared" ref="Y43" si="20">IFERROR(Y38*Y42,"-")</f>
        <v>189951.2672705412</v>
      </c>
      <c r="Z43" s="392"/>
      <c r="AA43" s="391">
        <f>SUM(E43:Y43)</f>
        <v>1247578.4640982917</v>
      </c>
      <c r="AB43" s="381"/>
      <c r="AC43" s="381"/>
      <c r="AD43" s="381"/>
      <c r="AE43" s="381"/>
      <c r="AF43" s="381"/>
      <c r="AG43" s="381"/>
      <c r="AH43" s="381"/>
      <c r="AI43" s="381"/>
      <c r="AJ43" s="381"/>
    </row>
    <row r="44" spans="1:36" x14ac:dyDescent="0.2">
      <c r="B44" s="387"/>
      <c r="C44" s="381"/>
      <c r="D44" s="381"/>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81"/>
      <c r="AC44" s="381"/>
      <c r="AD44" s="381"/>
      <c r="AE44" s="381"/>
      <c r="AF44" s="381"/>
      <c r="AG44" s="381"/>
      <c r="AH44" s="381"/>
      <c r="AI44" s="381"/>
      <c r="AJ44" s="381"/>
    </row>
    <row r="45" spans="1:36" x14ac:dyDescent="0.2">
      <c r="B45" s="403" t="s">
        <v>163</v>
      </c>
      <c r="C45" s="381"/>
      <c r="D45" s="381"/>
      <c r="E45" s="408">
        <f>SUM(E43:X43)</f>
        <v>1057627.1968277504</v>
      </c>
      <c r="F45" s="409" t="s">
        <v>216</v>
      </c>
      <c r="G45" s="392"/>
      <c r="H45" s="392"/>
      <c r="I45" s="392"/>
      <c r="J45" s="392"/>
      <c r="K45" s="392"/>
      <c r="L45" s="392"/>
      <c r="M45" s="392"/>
      <c r="N45" s="392"/>
      <c r="O45" s="392"/>
      <c r="P45" s="392"/>
      <c r="Q45" s="392"/>
      <c r="R45" s="392"/>
      <c r="S45" s="392"/>
      <c r="T45" s="392"/>
      <c r="U45" s="392"/>
      <c r="V45" s="392"/>
      <c r="W45" s="392"/>
      <c r="X45" s="392"/>
      <c r="Y45" s="392"/>
      <c r="Z45" s="392"/>
      <c r="AA45" s="392"/>
      <c r="AB45" s="381"/>
      <c r="AC45" s="381"/>
      <c r="AD45" s="381"/>
      <c r="AE45" s="381"/>
      <c r="AF45" s="381"/>
      <c r="AG45" s="381"/>
      <c r="AH45" s="381"/>
      <c r="AI45" s="381"/>
      <c r="AJ45" s="381"/>
    </row>
    <row r="46" spans="1:36" x14ac:dyDescent="0.2">
      <c r="A46" s="410"/>
      <c r="B46" s="387"/>
      <c r="C46" s="381"/>
      <c r="D46" s="381"/>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81"/>
      <c r="AC46" s="381"/>
      <c r="AD46" s="381"/>
      <c r="AE46" s="381"/>
      <c r="AF46" s="381"/>
      <c r="AG46" s="381"/>
      <c r="AH46" s="381"/>
      <c r="AI46" s="381"/>
      <c r="AJ46" s="381"/>
    </row>
    <row r="47" spans="1:36" x14ac:dyDescent="0.2">
      <c r="A47" s="410"/>
      <c r="B47" s="390" t="s">
        <v>343</v>
      </c>
      <c r="C47" s="381"/>
      <c r="D47" s="381"/>
      <c r="E47" s="391">
        <f>SUM(E48:E50)</f>
        <v>0</v>
      </c>
      <c r="F47" s="391">
        <f t="shared" ref="F47:X47" si="21">SUM(F48:F50)</f>
        <v>0</v>
      </c>
      <c r="G47" s="391">
        <f t="shared" si="21"/>
        <v>0</v>
      </c>
      <c r="H47" s="391">
        <f t="shared" si="21"/>
        <v>0</v>
      </c>
      <c r="I47" s="391">
        <f t="shared" si="21"/>
        <v>0</v>
      </c>
      <c r="J47" s="391">
        <f t="shared" si="21"/>
        <v>0</v>
      </c>
      <c r="K47" s="391">
        <f t="shared" si="21"/>
        <v>0</v>
      </c>
      <c r="L47" s="391">
        <f t="shared" si="21"/>
        <v>0</v>
      </c>
      <c r="M47" s="391">
        <f t="shared" si="21"/>
        <v>0</v>
      </c>
      <c r="N47" s="391">
        <f t="shared" si="21"/>
        <v>0</v>
      </c>
      <c r="O47" s="391">
        <f t="shared" si="21"/>
        <v>0</v>
      </c>
      <c r="P47" s="391">
        <f t="shared" si="21"/>
        <v>0</v>
      </c>
      <c r="Q47" s="391">
        <f t="shared" si="21"/>
        <v>0</v>
      </c>
      <c r="R47" s="391">
        <f t="shared" si="21"/>
        <v>0</v>
      </c>
      <c r="S47" s="391">
        <f t="shared" si="21"/>
        <v>0</v>
      </c>
      <c r="T47" s="391">
        <f t="shared" si="21"/>
        <v>0</v>
      </c>
      <c r="U47" s="391">
        <f t="shared" si="21"/>
        <v>0</v>
      </c>
      <c r="V47" s="391">
        <f t="shared" si="21"/>
        <v>0</v>
      </c>
      <c r="W47" s="391">
        <f t="shared" si="21"/>
        <v>0</v>
      </c>
      <c r="X47" s="391">
        <f t="shared" si="21"/>
        <v>0</v>
      </c>
      <c r="Y47" s="391">
        <f t="shared" ref="Y47" si="22">SUM(Y48:Y50)</f>
        <v>0</v>
      </c>
      <c r="Z47" s="392"/>
      <c r="AA47" s="391">
        <f>SUM(E47:Y47)</f>
        <v>0</v>
      </c>
      <c r="AB47" s="381"/>
      <c r="AC47" s="381"/>
      <c r="AD47" s="381"/>
      <c r="AE47" s="381"/>
      <c r="AF47" s="381"/>
      <c r="AG47" s="381"/>
      <c r="AH47" s="381"/>
      <c r="AI47" s="381"/>
      <c r="AJ47" s="381"/>
    </row>
    <row r="48" spans="1:36" s="378" customFormat="1" x14ac:dyDescent="0.2">
      <c r="A48" s="410"/>
      <c r="B48" s="411"/>
      <c r="C48" s="412"/>
      <c r="D48" s="413"/>
      <c r="E48" s="397"/>
      <c r="F48" s="397"/>
      <c r="G48" s="397"/>
      <c r="H48" s="397"/>
      <c r="I48" s="397"/>
      <c r="J48" s="397"/>
      <c r="K48" s="397"/>
      <c r="L48" s="397"/>
      <c r="M48" s="397"/>
      <c r="N48" s="397"/>
      <c r="O48" s="397"/>
      <c r="P48" s="397"/>
      <c r="Q48" s="397"/>
      <c r="R48" s="397"/>
      <c r="S48" s="397"/>
      <c r="T48" s="397"/>
      <c r="U48" s="397"/>
      <c r="V48" s="397"/>
      <c r="W48" s="397"/>
      <c r="X48" s="397"/>
      <c r="Y48" s="397"/>
      <c r="Z48" s="398"/>
      <c r="AA48" s="391">
        <f t="shared" ref="AA48:AA50" si="23">SUM(E48:Y48)</f>
        <v>0</v>
      </c>
      <c r="AB48" s="399"/>
      <c r="AC48" s="399"/>
      <c r="AD48" s="399"/>
      <c r="AE48" s="399"/>
      <c r="AF48" s="399"/>
      <c r="AG48" s="399"/>
      <c r="AH48" s="399"/>
      <c r="AI48" s="399"/>
      <c r="AJ48" s="399"/>
    </row>
    <row r="49" spans="1:36" x14ac:dyDescent="0.2">
      <c r="A49" s="410"/>
      <c r="B49" s="404"/>
      <c r="C49" s="405"/>
      <c r="D49" s="414" t="s">
        <v>161</v>
      </c>
      <c r="E49" s="394">
        <f>E21*SUM('Risku analīze'!$H$13:$H$15)*'Risku analīze'!$J$13</f>
        <v>0</v>
      </c>
      <c r="F49" s="394">
        <f>F21*SUM('Risku analīze'!$H$13:$H$15)*'Risku analīze'!$J$13</f>
        <v>0</v>
      </c>
      <c r="G49" s="394">
        <f>G21*SUM('Risku analīze'!$H$13:$H$15)*'Risku analīze'!$J$13</f>
        <v>0</v>
      </c>
      <c r="H49" s="394">
        <f>H21*SUM('Risku analīze'!$H$13:$H$15)*'Risku analīze'!$J$13</f>
        <v>0</v>
      </c>
      <c r="I49" s="394">
        <f>I21*SUM('Risku analīze'!$H$13:$H$15)*'Risku analīze'!$J$13</f>
        <v>0</v>
      </c>
      <c r="J49" s="394">
        <f>J21*SUM('Risku analīze'!$H$13:$H$15)*'Risku analīze'!$J$13</f>
        <v>0</v>
      </c>
      <c r="K49" s="394">
        <f>K21*SUM('Risku analīze'!$H$13:$H$15)*'Risku analīze'!$J$13</f>
        <v>0</v>
      </c>
      <c r="L49" s="394">
        <f>L21*SUM('Risku analīze'!$H$13:$H$15)*'Risku analīze'!$J$13</f>
        <v>0</v>
      </c>
      <c r="M49" s="394">
        <f>M21*SUM('Risku analīze'!$H$13:$H$15)*'Risku analīze'!$J$13</f>
        <v>0</v>
      </c>
      <c r="N49" s="394">
        <f>N21*SUM('Risku analīze'!$H$13:$H$15)*'Risku analīze'!$J$13</f>
        <v>0</v>
      </c>
      <c r="O49" s="394">
        <f>O21*SUM('Risku analīze'!$H$13:$H$15)*'Risku analīze'!$J$13</f>
        <v>0</v>
      </c>
      <c r="P49" s="394">
        <f>P21*SUM('Risku analīze'!$H$13:$H$15)*'Risku analīze'!$J$13</f>
        <v>0</v>
      </c>
      <c r="Q49" s="394">
        <f>Q21*SUM('Risku analīze'!$H$13:$H$15)*'Risku analīze'!$J$13</f>
        <v>0</v>
      </c>
      <c r="R49" s="394">
        <f>R21*SUM('Risku analīze'!$H$13:$H$15)*'Risku analīze'!$J$13</f>
        <v>0</v>
      </c>
      <c r="S49" s="394">
        <f>S21*SUM('Risku analīze'!$H$13:$H$15)*'Risku analīze'!$J$13</f>
        <v>0</v>
      </c>
      <c r="T49" s="394">
        <f>T21*SUM('Risku analīze'!$H$13:$H$15)*'Risku analīze'!$J$13</f>
        <v>0</v>
      </c>
      <c r="U49" s="394">
        <f>U21*SUM('Risku analīze'!$H$13:$H$15)*'Risku analīze'!$J$13</f>
        <v>0</v>
      </c>
      <c r="V49" s="394">
        <f>V21*SUM('Risku analīze'!$H$13:$H$15)*'Risku analīze'!$J$13</f>
        <v>0</v>
      </c>
      <c r="W49" s="394">
        <f>W21*SUM('Risku analīze'!$H$13:$H$15)*'Risku analīze'!$J$13</f>
        <v>0</v>
      </c>
      <c r="X49" s="394">
        <f>X21*SUM('Risku analīze'!$H$13:$H$15)*'Risku analīze'!$J$13</f>
        <v>0</v>
      </c>
      <c r="Y49" s="394">
        <f>Y21*SUM('Risku analīze'!$H$13:$H$15)*'Risku analīze'!$J$13</f>
        <v>0</v>
      </c>
      <c r="Z49" s="392"/>
      <c r="AA49" s="391">
        <f t="shared" si="23"/>
        <v>0</v>
      </c>
      <c r="AB49" s="381"/>
      <c r="AC49" s="381"/>
      <c r="AD49" s="381"/>
      <c r="AE49" s="381"/>
      <c r="AF49" s="381"/>
      <c r="AG49" s="381"/>
      <c r="AH49" s="381"/>
      <c r="AI49" s="381"/>
      <c r="AJ49" s="381"/>
    </row>
    <row r="50" spans="1:36" x14ac:dyDescent="0.2">
      <c r="A50" s="410"/>
      <c r="B50" s="404"/>
      <c r="C50" s="405"/>
      <c r="D50" s="414" t="s">
        <v>161</v>
      </c>
      <c r="E50" s="394">
        <f>-E33*'Risku analīze'!$H$16*'Risku analīze'!$J$16</f>
        <v>0</v>
      </c>
      <c r="F50" s="394">
        <f>-F33*'Risku analīze'!$H$16*'Risku analīze'!$J$16</f>
        <v>0</v>
      </c>
      <c r="G50" s="394">
        <f>-G33*'Risku analīze'!$H$16*'Risku analīze'!$J$16</f>
        <v>0</v>
      </c>
      <c r="H50" s="394">
        <f>-H33*'Risku analīze'!$H$16*'Risku analīze'!$J$16</f>
        <v>0</v>
      </c>
      <c r="I50" s="394">
        <f>-I33*'Risku analīze'!$H$16*'Risku analīze'!$J$16</f>
        <v>0</v>
      </c>
      <c r="J50" s="394">
        <f>-J33*'Risku analīze'!$H$16*'Risku analīze'!$J$16</f>
        <v>0</v>
      </c>
      <c r="K50" s="394">
        <f>-K33*'Risku analīze'!$H$16*'Risku analīze'!$J$16</f>
        <v>0</v>
      </c>
      <c r="L50" s="394">
        <f>-L33*'Risku analīze'!$H$16*'Risku analīze'!$J$16</f>
        <v>0</v>
      </c>
      <c r="M50" s="394">
        <f>-M33*'Risku analīze'!$H$16*'Risku analīze'!$J$16</f>
        <v>0</v>
      </c>
      <c r="N50" s="394">
        <f>-N33*'Risku analīze'!$H$16*'Risku analīze'!$J$16</f>
        <v>0</v>
      </c>
      <c r="O50" s="394">
        <f>-O33*'Risku analīze'!$H$16*'Risku analīze'!$J$16</f>
        <v>0</v>
      </c>
      <c r="P50" s="394">
        <f>-P33*'Risku analīze'!$H$16*'Risku analīze'!$J$16</f>
        <v>0</v>
      </c>
      <c r="Q50" s="394">
        <f>-Q33*'Risku analīze'!$H$16*'Risku analīze'!$J$16</f>
        <v>0</v>
      </c>
      <c r="R50" s="394">
        <f>-R33*'Risku analīze'!$H$16*'Risku analīze'!$J$16</f>
        <v>0</v>
      </c>
      <c r="S50" s="394">
        <f>-S33*'Risku analīze'!$H$16*'Risku analīze'!$J$16</f>
        <v>0</v>
      </c>
      <c r="T50" s="394">
        <f>-T33*'Risku analīze'!$H$16*'Risku analīze'!$J$16</f>
        <v>0</v>
      </c>
      <c r="U50" s="394">
        <f>-U33*'Risku analīze'!$H$16*'Risku analīze'!$J$16</f>
        <v>0</v>
      </c>
      <c r="V50" s="394">
        <f>-V33*'Risku analīze'!$H$16*'Risku analīze'!$J$16</f>
        <v>0</v>
      </c>
      <c r="W50" s="394">
        <f>-W33*'Risku analīze'!$H$16*'Risku analīze'!$J$16</f>
        <v>0</v>
      </c>
      <c r="X50" s="394">
        <f>-X33*'Risku analīze'!$H$16*'Risku analīze'!$J$16</f>
        <v>0</v>
      </c>
      <c r="Y50" s="394">
        <f>-Y33*'Risku analīze'!$H$16*'Risku analīze'!$J$16</f>
        <v>0</v>
      </c>
      <c r="Z50" s="392"/>
      <c r="AA50" s="391">
        <f t="shared" si="23"/>
        <v>0</v>
      </c>
      <c r="AB50" s="381"/>
      <c r="AC50" s="381"/>
      <c r="AD50" s="381"/>
      <c r="AE50" s="381"/>
      <c r="AF50" s="381"/>
      <c r="AG50" s="381"/>
      <c r="AH50" s="381"/>
      <c r="AI50" s="381"/>
      <c r="AJ50" s="381"/>
    </row>
    <row r="51" spans="1:36" x14ac:dyDescent="0.2">
      <c r="A51" s="410"/>
      <c r="B51" s="387"/>
      <c r="C51" s="381"/>
      <c r="D51" s="381"/>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81"/>
      <c r="AC51" s="381"/>
      <c r="AD51" s="381"/>
      <c r="AE51" s="381"/>
      <c r="AF51" s="381"/>
      <c r="AG51" s="381"/>
      <c r="AH51" s="381"/>
      <c r="AI51" s="381"/>
      <c r="AJ51" s="381"/>
    </row>
    <row r="52" spans="1:36" x14ac:dyDescent="0.2">
      <c r="A52" s="410"/>
      <c r="B52" s="415" t="s">
        <v>166</v>
      </c>
      <c r="C52" s="381"/>
      <c r="D52" s="381"/>
      <c r="E52" s="391">
        <f>IFERROR(E47*E42,"-")</f>
        <v>0</v>
      </c>
      <c r="F52" s="391">
        <f t="shared" ref="F52:X52" si="24">IFERROR(F47*F42,"-")</f>
        <v>0</v>
      </c>
      <c r="G52" s="391">
        <f>IFERROR(G47*G42,"-")</f>
        <v>0</v>
      </c>
      <c r="H52" s="391">
        <f t="shared" si="24"/>
        <v>0</v>
      </c>
      <c r="I52" s="391">
        <f t="shared" si="24"/>
        <v>0</v>
      </c>
      <c r="J52" s="391">
        <f t="shared" si="24"/>
        <v>0</v>
      </c>
      <c r="K52" s="391">
        <f t="shared" si="24"/>
        <v>0</v>
      </c>
      <c r="L52" s="391">
        <f t="shared" si="24"/>
        <v>0</v>
      </c>
      <c r="M52" s="391">
        <f t="shared" si="24"/>
        <v>0</v>
      </c>
      <c r="N52" s="391">
        <f t="shared" si="24"/>
        <v>0</v>
      </c>
      <c r="O52" s="391">
        <f t="shared" si="24"/>
        <v>0</v>
      </c>
      <c r="P52" s="391">
        <f t="shared" si="24"/>
        <v>0</v>
      </c>
      <c r="Q52" s="391">
        <f t="shared" si="24"/>
        <v>0</v>
      </c>
      <c r="R52" s="391">
        <f t="shared" si="24"/>
        <v>0</v>
      </c>
      <c r="S52" s="391">
        <f t="shared" si="24"/>
        <v>0</v>
      </c>
      <c r="T52" s="391">
        <f t="shared" si="24"/>
        <v>0</v>
      </c>
      <c r="U52" s="391">
        <f t="shared" si="24"/>
        <v>0</v>
      </c>
      <c r="V52" s="391">
        <f t="shared" si="24"/>
        <v>0</v>
      </c>
      <c r="W52" s="391">
        <f t="shared" si="24"/>
        <v>0</v>
      </c>
      <c r="X52" s="391">
        <f t="shared" si="24"/>
        <v>0</v>
      </c>
      <c r="Y52" s="391">
        <f t="shared" ref="Y52" si="25">IFERROR(Y47*Y42,"-")</f>
        <v>0</v>
      </c>
      <c r="Z52" s="392"/>
      <c r="AA52" s="391">
        <f>SUM(E52:Y52)</f>
        <v>0</v>
      </c>
      <c r="AB52" s="381"/>
      <c r="AC52" s="381"/>
      <c r="AD52" s="381"/>
      <c r="AE52" s="381"/>
      <c r="AF52" s="381"/>
      <c r="AG52" s="381"/>
      <c r="AH52" s="381"/>
      <c r="AI52" s="381"/>
      <c r="AJ52" s="381"/>
    </row>
    <row r="53" spans="1:36" x14ac:dyDescent="0.2">
      <c r="B53" s="387"/>
      <c r="C53" s="381"/>
      <c r="D53" s="381"/>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81"/>
      <c r="AC53" s="381"/>
      <c r="AD53" s="381"/>
      <c r="AE53" s="381"/>
      <c r="AF53" s="381"/>
      <c r="AG53" s="381"/>
      <c r="AH53" s="381"/>
      <c r="AI53" s="381"/>
      <c r="AJ53" s="381"/>
    </row>
    <row r="54" spans="1:36" x14ac:dyDescent="0.2">
      <c r="B54" s="403" t="s">
        <v>167</v>
      </c>
      <c r="C54" s="381"/>
      <c r="D54" s="381"/>
      <c r="E54" s="408">
        <f>SUM(E52:X52)</f>
        <v>0</v>
      </c>
      <c r="F54" s="409" t="s">
        <v>216</v>
      </c>
      <c r="G54" s="392"/>
      <c r="H54" s="392"/>
      <c r="I54" s="392"/>
      <c r="J54" s="392"/>
      <c r="K54" s="392"/>
      <c r="L54" s="392"/>
      <c r="M54" s="392"/>
      <c r="N54" s="392"/>
      <c r="O54" s="392"/>
      <c r="P54" s="392"/>
      <c r="Q54" s="392"/>
      <c r="R54" s="392"/>
      <c r="S54" s="392"/>
      <c r="T54" s="392"/>
      <c r="U54" s="392"/>
      <c r="V54" s="392"/>
      <c r="W54" s="392"/>
      <c r="X54" s="392"/>
      <c r="Y54" s="392"/>
      <c r="Z54" s="392"/>
      <c r="AA54" s="392"/>
      <c r="AB54" s="381"/>
      <c r="AC54" s="381"/>
      <c r="AD54" s="381"/>
      <c r="AE54" s="381"/>
      <c r="AF54" s="381"/>
      <c r="AG54" s="381"/>
      <c r="AH54" s="381"/>
      <c r="AI54" s="381"/>
      <c r="AJ54" s="381"/>
    </row>
    <row r="55" spans="1:36" x14ac:dyDescent="0.2">
      <c r="B55" s="387"/>
      <c r="C55" s="381"/>
      <c r="D55" s="381"/>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81"/>
      <c r="AC55" s="381"/>
      <c r="AD55" s="381"/>
      <c r="AE55" s="381"/>
      <c r="AF55" s="381"/>
      <c r="AG55" s="381"/>
      <c r="AH55" s="381"/>
      <c r="AI55" s="381"/>
      <c r="AJ55" s="381"/>
    </row>
    <row r="56" spans="1:36" x14ac:dyDescent="0.2">
      <c r="B56" s="390" t="s">
        <v>348</v>
      </c>
      <c r="C56" s="381"/>
      <c r="D56" s="381"/>
      <c r="E56" s="391">
        <f>E38+E47</f>
        <v>-1003968.6788096</v>
      </c>
      <c r="F56" s="391">
        <f>F38+F47</f>
        <v>-266578.34503813135</v>
      </c>
      <c r="G56" s="391">
        <f t="shared" ref="G56:N56" si="26">G38+G47</f>
        <v>-237711.60746324761</v>
      </c>
      <c r="H56" s="391">
        <f t="shared" si="26"/>
        <v>-208807.07941383636</v>
      </c>
      <c r="I56" s="391">
        <f t="shared" si="26"/>
        <v>-179766.29406015761</v>
      </c>
      <c r="J56" s="391">
        <f t="shared" si="26"/>
        <v>-150683.4498734707</v>
      </c>
      <c r="K56" s="391">
        <f t="shared" si="26"/>
        <v>-121467.31553061772</v>
      </c>
      <c r="L56" s="391">
        <f t="shared" si="26"/>
        <v>-92219.133883112576</v>
      </c>
      <c r="M56" s="391">
        <f t="shared" si="26"/>
        <v>-62940.056633856613</v>
      </c>
      <c r="N56" s="391">
        <f t="shared" si="26"/>
        <v>-258638.71615328221</v>
      </c>
      <c r="O56" s="391">
        <f t="shared" ref="O56:X56" si="27">O38+O47</f>
        <v>806540.50923221419</v>
      </c>
      <c r="P56" s="391">
        <f t="shared" si="27"/>
        <v>804140.7074301308</v>
      </c>
      <c r="Q56" s="391">
        <f t="shared" si="27"/>
        <v>801867.88386730943</v>
      </c>
      <c r="R56" s="391">
        <f t="shared" si="27"/>
        <v>801599.89517998975</v>
      </c>
      <c r="S56" s="391">
        <f t="shared" si="27"/>
        <v>801313.03037417168</v>
      </c>
      <c r="T56" s="391">
        <f t="shared" si="27"/>
        <v>801114.27584343893</v>
      </c>
      <c r="U56" s="391">
        <f t="shared" si="27"/>
        <v>800897.51548847137</v>
      </c>
      <c r="V56" s="391">
        <f t="shared" si="27"/>
        <v>800663.26606349624</v>
      </c>
      <c r="W56" s="391">
        <f t="shared" si="27"/>
        <v>800512.09785342542</v>
      </c>
      <c r="X56" s="391">
        <f t="shared" si="27"/>
        <v>194937.4152163039</v>
      </c>
      <c r="Y56" s="391">
        <f t="shared" ref="Y56" si="28">Y38+Y47</f>
        <v>609199.44725513598</v>
      </c>
      <c r="Z56" s="392"/>
      <c r="AA56" s="391">
        <f>SUM(E56:Y56)</f>
        <v>5440005.366944775</v>
      </c>
      <c r="AB56" s="381"/>
      <c r="AC56" s="381"/>
      <c r="AD56" s="381"/>
      <c r="AE56" s="381"/>
      <c r="AF56" s="381"/>
      <c r="AG56" s="381"/>
      <c r="AH56" s="381"/>
      <c r="AI56" s="381"/>
      <c r="AJ56" s="381"/>
    </row>
    <row r="57" spans="1:36" x14ac:dyDescent="0.2">
      <c r="B57" s="404" t="s">
        <v>171</v>
      </c>
      <c r="C57" s="381"/>
      <c r="D57" s="381"/>
      <c r="E57" s="391">
        <f>IFERROR(E56*E42,"-")</f>
        <v>-1003968.6788096</v>
      </c>
      <c r="F57" s="391">
        <f t="shared" ref="F57:N57" si="29">IFERROR(F56*F42,"-")</f>
        <v>-251489.00475295406</v>
      </c>
      <c r="G57" s="391">
        <f t="shared" si="29"/>
        <v>-211562.48439235278</v>
      </c>
      <c r="H57" s="391">
        <f t="shared" si="29"/>
        <v>-175318.45030951416</v>
      </c>
      <c r="I57" s="391">
        <f t="shared" si="29"/>
        <v>-142391.74238883343</v>
      </c>
      <c r="J57" s="391">
        <f t="shared" si="29"/>
        <v>-112599.43943360379</v>
      </c>
      <c r="K57" s="391">
        <f t="shared" si="29"/>
        <v>-85629.664402220951</v>
      </c>
      <c r="L57" s="391">
        <f t="shared" si="29"/>
        <v>-61330.991001054615</v>
      </c>
      <c r="M57" s="391">
        <f t="shared" si="29"/>
        <v>-39489.370185036838</v>
      </c>
      <c r="N57" s="391">
        <f t="shared" si="29"/>
        <v>-153087.85870050598</v>
      </c>
      <c r="O57" s="391">
        <f t="shared" ref="O57:X57" si="30">IFERROR(O56*O42,"-")</f>
        <v>450368.0077257278</v>
      </c>
      <c r="P57" s="391">
        <f t="shared" si="30"/>
        <v>423611.29333378572</v>
      </c>
      <c r="Q57" s="391">
        <f t="shared" si="30"/>
        <v>398503.77191837289</v>
      </c>
      <c r="R57" s="391">
        <f t="shared" si="30"/>
        <v>375821.31108583941</v>
      </c>
      <c r="S57" s="391">
        <f t="shared" si="30"/>
        <v>354421.52610449429</v>
      </c>
      <c r="T57" s="391">
        <f t="shared" si="30"/>
        <v>334276.99696592096</v>
      </c>
      <c r="U57" s="391">
        <f t="shared" si="30"/>
        <v>315270.33060683066</v>
      </c>
      <c r="V57" s="391">
        <f t="shared" si="30"/>
        <v>297337.84829361062</v>
      </c>
      <c r="W57" s="391">
        <f t="shared" si="30"/>
        <v>280454.44320676167</v>
      </c>
      <c r="X57" s="391">
        <f t="shared" si="30"/>
        <v>64429.351962082772</v>
      </c>
      <c r="Y57" s="391">
        <f t="shared" ref="Y57" si="31">IFERROR(Y56*Y42,"-")</f>
        <v>189951.2672705412</v>
      </c>
      <c r="Z57" s="392"/>
      <c r="AA57" s="391">
        <f>SUM(E57:Y57)</f>
        <v>1247578.4640982917</v>
      </c>
      <c r="AB57" s="381"/>
      <c r="AC57" s="381"/>
      <c r="AD57" s="381"/>
      <c r="AE57" s="381"/>
      <c r="AF57" s="381"/>
      <c r="AG57" s="381"/>
      <c r="AH57" s="381"/>
      <c r="AI57" s="381"/>
      <c r="AJ57" s="381"/>
    </row>
    <row r="58" spans="1:36" x14ac:dyDescent="0.2">
      <c r="C58" s="381"/>
      <c r="D58" s="381"/>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81"/>
      <c r="AC58" s="381"/>
      <c r="AD58" s="381"/>
      <c r="AE58" s="381"/>
      <c r="AF58" s="381"/>
      <c r="AG58" s="381"/>
      <c r="AH58" s="381"/>
      <c r="AI58" s="381"/>
      <c r="AJ58" s="381"/>
    </row>
    <row r="59" spans="1:36" x14ac:dyDescent="0.2">
      <c r="B59" s="416" t="s">
        <v>139</v>
      </c>
      <c r="C59" s="381"/>
      <c r="D59" s="381"/>
      <c r="E59" s="408">
        <f>SUM(E57:X57)</f>
        <v>1057627.1968277504</v>
      </c>
      <c r="F59" s="409" t="s">
        <v>216</v>
      </c>
      <c r="G59" s="392"/>
      <c r="H59" s="392"/>
      <c r="I59" s="392"/>
      <c r="J59" s="392"/>
      <c r="K59" s="392"/>
      <c r="L59" s="392"/>
      <c r="M59" s="392"/>
      <c r="N59" s="392"/>
      <c r="O59" s="392"/>
      <c r="P59" s="392"/>
      <c r="Q59" s="392"/>
      <c r="R59" s="392"/>
      <c r="S59" s="392"/>
      <c r="T59" s="392"/>
      <c r="U59" s="392"/>
      <c r="V59" s="392"/>
      <c r="W59" s="392"/>
      <c r="X59" s="392"/>
      <c r="Y59" s="392"/>
      <c r="Z59" s="392"/>
      <c r="AA59" s="392"/>
      <c r="AB59" s="381"/>
      <c r="AC59" s="381"/>
      <c r="AD59" s="381"/>
      <c r="AE59" s="381"/>
      <c r="AF59" s="381"/>
      <c r="AG59" s="381"/>
      <c r="AH59" s="381"/>
      <c r="AI59" s="381"/>
      <c r="AJ59" s="381"/>
    </row>
    <row r="60" spans="1:36" x14ac:dyDescent="0.2">
      <c r="C60" s="381"/>
      <c r="D60" s="381"/>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81"/>
      <c r="AC60" s="381"/>
      <c r="AD60" s="381"/>
      <c r="AE60" s="381"/>
      <c r="AF60" s="381"/>
      <c r="AG60" s="381"/>
      <c r="AH60" s="381"/>
      <c r="AI60" s="381"/>
      <c r="AJ60" s="381"/>
    </row>
    <row r="61" spans="1:36" x14ac:dyDescent="0.2">
      <c r="B61" s="417" t="s">
        <v>340</v>
      </c>
      <c r="C61" s="381"/>
      <c r="D61" s="381"/>
      <c r="E61" s="418"/>
      <c r="F61" s="418">
        <f>F32</f>
        <v>2875608.4682805329</v>
      </c>
      <c r="G61" s="418">
        <f t="shared" ref="G61:Y61" si="32">G32</f>
        <v>2863653.5291020218</v>
      </c>
      <c r="H61" s="418">
        <f t="shared" si="32"/>
        <v>2852348.6937464033</v>
      </c>
      <c r="I61" s="418">
        <f t="shared" si="32"/>
        <v>2841686.8013435993</v>
      </c>
      <c r="J61" s="418">
        <f t="shared" si="32"/>
        <v>2831721.709604199</v>
      </c>
      <c r="K61" s="418">
        <f t="shared" si="32"/>
        <v>2822385.8470550524</v>
      </c>
      <c r="L61" s="418">
        <f t="shared" si="32"/>
        <v>2813673.407066741</v>
      </c>
      <c r="M61" s="418">
        <f t="shared" si="32"/>
        <v>2805579.0077088443</v>
      </c>
      <c r="N61" s="418">
        <f t="shared" si="32"/>
        <v>2811976.5851503354</v>
      </c>
      <c r="O61" s="418">
        <f t="shared" si="32"/>
        <v>2805162.1308101704</v>
      </c>
      <c r="P61" s="418">
        <f t="shared" si="32"/>
        <v>2798951.3171094954</v>
      </c>
      <c r="Q61" s="418">
        <f t="shared" si="32"/>
        <v>2793340.3791303355</v>
      </c>
      <c r="R61" s="418">
        <f t="shared" si="32"/>
        <v>2795509.372695691</v>
      </c>
      <c r="S61" s="418">
        <f t="shared" si="32"/>
        <v>2798079.1100160875</v>
      </c>
      <c r="T61" s="418">
        <f t="shared" si="32"/>
        <v>2801109.3952954323</v>
      </c>
      <c r="U61" s="418">
        <f t="shared" si="32"/>
        <v>2804544.2592293564</v>
      </c>
      <c r="V61" s="418">
        <f t="shared" si="32"/>
        <v>2808385.9967583241</v>
      </c>
      <c r="W61" s="418">
        <f t="shared" si="32"/>
        <v>2812637.1503334981</v>
      </c>
      <c r="X61" s="418">
        <f t="shared" si="32"/>
        <v>2854466.591704336</v>
      </c>
      <c r="Y61" s="418">
        <f t="shared" si="32"/>
        <v>2631416.993417623</v>
      </c>
      <c r="Z61" s="392"/>
      <c r="AA61" s="408">
        <f>SUM(E61:Y61)</f>
        <v>56222236.745558083</v>
      </c>
      <c r="AB61" s="381"/>
      <c r="AC61" s="381"/>
      <c r="AD61" s="381"/>
      <c r="AE61" s="381"/>
      <c r="AF61" s="381"/>
      <c r="AG61" s="381"/>
      <c r="AH61" s="381"/>
      <c r="AI61" s="381"/>
      <c r="AJ61" s="381"/>
    </row>
    <row r="62" spans="1:36" x14ac:dyDescent="0.2">
      <c r="B62" s="419" t="s">
        <v>328</v>
      </c>
      <c r="C62" s="419"/>
      <c r="D62" s="419"/>
      <c r="E62" s="420">
        <f>E61*E42</f>
        <v>0</v>
      </c>
      <c r="F62" s="420">
        <f>F61*F42</f>
        <v>2712838.1776231439</v>
      </c>
      <c r="G62" s="420">
        <f t="shared" ref="G62:X62" si="33">G61*G42</f>
        <v>2548641.446335014</v>
      </c>
      <c r="H62" s="420">
        <f t="shared" si="33"/>
        <v>2394886.9652014771</v>
      </c>
      <c r="I62" s="420">
        <f t="shared" si="33"/>
        <v>2250882.1082513845</v>
      </c>
      <c r="J62" s="420">
        <f t="shared" si="33"/>
        <v>2116027.1907839808</v>
      </c>
      <c r="K62" s="420">
        <f t="shared" si="33"/>
        <v>1989670.6520692231</v>
      </c>
      <c r="L62" s="420">
        <f t="shared" si="33"/>
        <v>1871253.5147797309</v>
      </c>
      <c r="M62" s="420">
        <f t="shared" si="33"/>
        <v>1760254.9782134544</v>
      </c>
      <c r="N62" s="420">
        <f t="shared" si="33"/>
        <v>1664404.6202328899</v>
      </c>
      <c r="O62" s="420">
        <f t="shared" si="33"/>
        <v>1566387.8822444817</v>
      </c>
      <c r="P62" s="420">
        <f t="shared" si="33"/>
        <v>1474452.6380317281</v>
      </c>
      <c r="Q62" s="420">
        <f t="shared" si="33"/>
        <v>1388204.5904703401</v>
      </c>
      <c r="R62" s="420">
        <f t="shared" si="33"/>
        <v>1310643.8809642617</v>
      </c>
      <c r="S62" s="420">
        <f t="shared" si="33"/>
        <v>1237593.0887707325</v>
      </c>
      <c r="T62" s="420">
        <f t="shared" si="33"/>
        <v>1168805.0819548413</v>
      </c>
      <c r="U62" s="420">
        <f t="shared" si="33"/>
        <v>1103998.425153631</v>
      </c>
      <c r="V62" s="420">
        <f t="shared" si="33"/>
        <v>1042934.6328819894</v>
      </c>
      <c r="W62" s="420">
        <f t="shared" si="33"/>
        <v>985389.96231867955</v>
      </c>
      <c r="X62" s="420">
        <f t="shared" si="33"/>
        <v>943438.34659373155</v>
      </c>
      <c r="Y62" s="420">
        <f t="shared" ref="Y62" si="34">Y61*Y42</f>
        <v>820488.256955983</v>
      </c>
      <c r="Z62" s="419"/>
      <c r="AA62" s="420">
        <f>SUM(E62:Y62)</f>
        <v>32351196.439830698</v>
      </c>
    </row>
    <row r="63" spans="1:36" x14ac:dyDescent="0.2">
      <c r="F63" s="482">
        <f>F61/'Proj_FinEkonAnalize '!H88</f>
        <v>126.70669611282365</v>
      </c>
      <c r="G63" s="482">
        <f>G61/'Proj_FinEkonAnalize '!I88</f>
        <v>127.13223214659364</v>
      </c>
      <c r="H63" s="482">
        <f>H61/'Proj_FinEkonAnalize '!J88</f>
        <v>127.58761378361081</v>
      </c>
      <c r="I63" s="482">
        <f>I61/'Proj_FinEkonAnalize '!K88</f>
        <v>128.07313869405081</v>
      </c>
      <c r="J63" s="482">
        <f>J61/'Proj_FinEkonAnalize '!L88</f>
        <v>128.58603712670052</v>
      </c>
      <c r="K63" s="482">
        <f>K61/'Proj_FinEkonAnalize '!M88</f>
        <v>129.12960822871631</v>
      </c>
      <c r="L63" s="482">
        <f>L61/'Proj_FinEkonAnalize '!N88</f>
        <v>129.70420905668837</v>
      </c>
      <c r="M63" s="482">
        <f>M61/'Proj_FinEkonAnalize '!O88</f>
        <v>130.31021865809774</v>
      </c>
      <c r="N63" s="482">
        <f>N61/'Proj_FinEkonAnalize '!P88</f>
        <v>131.59139806028992</v>
      </c>
      <c r="O63" s="482">
        <f>O61/'Proj_FinEkonAnalize '!Q88</f>
        <v>132.26281912443633</v>
      </c>
      <c r="P63" s="482">
        <f>P61/'Proj_FinEkonAnalize '!R88</f>
        <v>132.96680841375274</v>
      </c>
      <c r="Q63" s="482">
        <f>Q61/'Proj_FinEkonAnalize '!S88</f>
        <v>133.70382821799424</v>
      </c>
      <c r="R63" s="482">
        <f>R61/'Proj_FinEkonAnalize '!T88</f>
        <v>134.82080408467283</v>
      </c>
      <c r="S63" s="482">
        <f>S61/'Proj_FinEkonAnalize '!U88</f>
        <v>135.96769085067726</v>
      </c>
      <c r="T63" s="482">
        <f>T61/'Proj_FinEkonAnalize '!V88</f>
        <v>137.14121886391345</v>
      </c>
      <c r="U63" s="482">
        <f>U61/'Proj_FinEkonAnalize '!W88</f>
        <v>138.34571128795167</v>
      </c>
      <c r="V63" s="482">
        <f>V61/'Proj_FinEkonAnalize '!X88</f>
        <v>139.58180898401213</v>
      </c>
      <c r="W63" s="482">
        <f>W61/'Proj_FinEkonAnalize '!Y88</f>
        <v>140.85017528837187</v>
      </c>
      <c r="X63" s="482">
        <f>X61/'Proj_FinEkonAnalize '!Z88</f>
        <v>144.02677187064614</v>
      </c>
      <c r="Y63" s="482">
        <f>Y61/'Proj_FinEkonAnalize '!AA88</f>
        <v>133.77818980262444</v>
      </c>
    </row>
    <row r="64" spans="1:36" x14ac:dyDescent="0.2"/>
  </sheetData>
  <mergeCells count="1">
    <mergeCell ref="E2:G2"/>
  </mergeCells>
  <conditionalFormatting sqref="B5:AA61">
    <cfRule type="expression" dxfId="13" priority="1">
      <formula>$E$2="NEAIZPILDĪT"</formula>
    </cfRule>
  </conditionalFormatting>
  <conditionalFormatting sqref="E2:G2">
    <cfRule type="cellIs" dxfId="12" priority="14" operator="equal">
      <formula>"NEAIZPILDĪT"</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AJ74"/>
  <sheetViews>
    <sheetView topLeftCell="A43" zoomScale="70" zoomScaleNormal="70" workbookViewId="0">
      <selection activeCell="A13" sqref="A13"/>
    </sheetView>
  </sheetViews>
  <sheetFormatPr defaultColWidth="0" defaultRowHeight="12" zeroHeight="1" outlineLevelRow="1" outlineLevelCol="1" x14ac:dyDescent="0.2"/>
  <cols>
    <col min="1" max="1" width="8.85546875" style="421" customWidth="1"/>
    <col min="2" max="2" width="41.28515625" style="355" bestFit="1" customWidth="1"/>
    <col min="3" max="3" width="6" style="355" hidden="1" customWidth="1" outlineLevel="1"/>
    <col min="4" max="4" width="12.7109375" style="355" hidden="1" customWidth="1" outlineLevel="1"/>
    <col min="5" max="5" width="10.28515625" style="355" bestFit="1" customWidth="1" collapsed="1"/>
    <col min="6" max="25" width="8.85546875" style="355" customWidth="1"/>
    <col min="26" max="26" width="3.85546875" style="355" customWidth="1"/>
    <col min="27" max="27" width="10.85546875" style="355" customWidth="1"/>
    <col min="28" max="28" width="8.85546875" style="355" customWidth="1"/>
    <col min="29" max="16384" width="8.85546875" style="355" hidden="1"/>
  </cols>
  <sheetData>
    <row r="1" spans="1:36" x14ac:dyDescent="0.2"/>
    <row r="2" spans="1:36" ht="15" x14ac:dyDescent="0.25">
      <c r="B2" s="379" t="s">
        <v>141</v>
      </c>
      <c r="C2" s="379"/>
      <c r="D2" s="379"/>
      <c r="E2" s="520" t="str">
        <f>IF(Titullapa!$D$22="Jā","AIZPILDĪT","NEAIZPILDĪT")</f>
        <v>AIZPILDĪT</v>
      </c>
      <c r="F2" s="520"/>
      <c r="G2" s="520"/>
      <c r="H2" s="422"/>
      <c r="I2" s="422"/>
      <c r="J2" s="422"/>
      <c r="K2" s="422"/>
      <c r="L2" s="422"/>
      <c r="M2" s="422"/>
      <c r="N2" s="422"/>
      <c r="O2" s="422"/>
      <c r="P2" s="422"/>
      <c r="Q2" s="422"/>
      <c r="R2" s="422"/>
      <c r="S2" s="422"/>
      <c r="T2" s="422"/>
      <c r="U2" s="422"/>
      <c r="V2" s="422"/>
      <c r="W2" s="422"/>
      <c r="X2" s="422"/>
      <c r="Y2" s="422"/>
    </row>
    <row r="3" spans="1:36" x14ac:dyDescent="0.2"/>
    <row r="4" spans="1:36" x14ac:dyDescent="0.2"/>
    <row r="5" spans="1:36" x14ac:dyDescent="0.2">
      <c r="B5" s="357" t="s">
        <v>146</v>
      </c>
      <c r="E5" s="380" t="s">
        <v>137</v>
      </c>
    </row>
    <row r="6" spans="1:36" x14ac:dyDescent="0.2">
      <c r="B6" s="357" t="s">
        <v>193</v>
      </c>
      <c r="C6" s="381"/>
      <c r="D6" s="381"/>
      <c r="E6" s="423">
        <f>NPV_Bāze_I!E6</f>
        <v>0.04</v>
      </c>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row>
    <row r="7" spans="1:36" x14ac:dyDescent="0.2">
      <c r="B7" s="383"/>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row>
    <row r="8" spans="1:36" x14ac:dyDescent="0.2">
      <c r="B8" s="357" t="s">
        <v>169</v>
      </c>
      <c r="C8" s="381"/>
      <c r="D8" s="381"/>
      <c r="E8" s="384">
        <f>Projekts!D4</f>
        <v>2028</v>
      </c>
      <c r="F8" s="384">
        <f>Projekts!E4</f>
        <v>2029</v>
      </c>
      <c r="G8" s="384">
        <f>Projekts!F4</f>
        <v>2030</v>
      </c>
      <c r="H8" s="384">
        <f>Projekts!G4</f>
        <v>2031</v>
      </c>
      <c r="I8" s="384">
        <f>Projekts!H4</f>
        <v>2032</v>
      </c>
      <c r="J8" s="384">
        <f>Projekts!I4</f>
        <v>2033</v>
      </c>
      <c r="K8" s="384">
        <f>Projekts!J4</f>
        <v>2034</v>
      </c>
      <c r="L8" s="384">
        <f>Projekts!K4</f>
        <v>2035</v>
      </c>
      <c r="M8" s="384">
        <f>Projekts!L4</f>
        <v>2036</v>
      </c>
      <c r="N8" s="384">
        <f>Projekts!M4</f>
        <v>2037</v>
      </c>
      <c r="O8" s="384">
        <f>Projekts!N4</f>
        <v>2038</v>
      </c>
      <c r="P8" s="384">
        <f>Projekts!O4</f>
        <v>2039</v>
      </c>
      <c r="Q8" s="384">
        <f>Projekts!P4</f>
        <v>2040</v>
      </c>
      <c r="R8" s="384">
        <f>Projekts!Q4</f>
        <v>2041</v>
      </c>
      <c r="S8" s="384">
        <f>Projekts!R4</f>
        <v>2042</v>
      </c>
      <c r="T8" s="384">
        <f>Projekts!S4</f>
        <v>2043</v>
      </c>
      <c r="U8" s="384">
        <f>Projekts!T4</f>
        <v>2044</v>
      </c>
      <c r="V8" s="384">
        <f>Projekts!U4</f>
        <v>2045</v>
      </c>
      <c r="W8" s="384">
        <f>Projekts!V4</f>
        <v>2046</v>
      </c>
      <c r="X8" s="384">
        <f>Projekts!W4</f>
        <v>2047</v>
      </c>
      <c r="Y8" s="384">
        <f>Projekts!X4</f>
        <v>2048</v>
      </c>
      <c r="Z8" s="381"/>
      <c r="AA8" s="381" t="s">
        <v>191</v>
      </c>
      <c r="AB8" s="381"/>
      <c r="AC8" s="381"/>
      <c r="AD8" s="381"/>
      <c r="AE8" s="381"/>
      <c r="AF8" s="381"/>
      <c r="AG8" s="381"/>
      <c r="AH8" s="381"/>
      <c r="AI8" s="381"/>
      <c r="AJ8" s="381"/>
    </row>
    <row r="9" spans="1:36" x14ac:dyDescent="0.2">
      <c r="B9" s="357" t="s">
        <v>168</v>
      </c>
      <c r="C9" s="381"/>
      <c r="D9" s="381"/>
      <c r="E9" s="384">
        <v>1</v>
      </c>
      <c r="F9" s="384">
        <v>2</v>
      </c>
      <c r="G9" s="384">
        <v>3</v>
      </c>
      <c r="H9" s="384">
        <v>4</v>
      </c>
      <c r="I9" s="384">
        <v>5</v>
      </c>
      <c r="J9" s="384">
        <v>6</v>
      </c>
      <c r="K9" s="384">
        <v>7</v>
      </c>
      <c r="L9" s="384">
        <v>8</v>
      </c>
      <c r="M9" s="384">
        <v>9</v>
      </c>
      <c r="N9" s="384">
        <v>10</v>
      </c>
      <c r="O9" s="384">
        <v>11</v>
      </c>
      <c r="P9" s="384">
        <v>12</v>
      </c>
      <c r="Q9" s="384">
        <v>13</v>
      </c>
      <c r="R9" s="384">
        <v>14</v>
      </c>
      <c r="S9" s="384">
        <v>15</v>
      </c>
      <c r="T9" s="384">
        <v>16</v>
      </c>
      <c r="U9" s="384">
        <v>17</v>
      </c>
      <c r="V9" s="384">
        <v>18</v>
      </c>
      <c r="W9" s="384">
        <v>19</v>
      </c>
      <c r="X9" s="384">
        <v>20</v>
      </c>
      <c r="Y9" s="384">
        <v>21</v>
      </c>
      <c r="Z9" s="381"/>
      <c r="AA9" s="381">
        <f>COUNTA(E9:Y9)</f>
        <v>21</v>
      </c>
      <c r="AB9" s="381"/>
      <c r="AC9" s="381"/>
      <c r="AD9" s="381"/>
      <c r="AE9" s="381"/>
      <c r="AF9" s="381"/>
      <c r="AG9" s="381"/>
      <c r="AH9" s="381"/>
      <c r="AI9" s="381"/>
      <c r="AJ9" s="381"/>
    </row>
    <row r="10" spans="1:36" hidden="1" outlineLevel="1" x14ac:dyDescent="0.2">
      <c r="B10" s="357" t="s">
        <v>168</v>
      </c>
      <c r="C10" s="381"/>
      <c r="D10" s="381"/>
      <c r="E10" s="385">
        <f>Projekts!D6</f>
        <v>0</v>
      </c>
      <c r="F10" s="385">
        <f>Projekts!E6</f>
        <v>1</v>
      </c>
      <c r="G10" s="385">
        <f>Projekts!F6</f>
        <v>2</v>
      </c>
      <c r="H10" s="385">
        <f>Projekts!G6</f>
        <v>3</v>
      </c>
      <c r="I10" s="385">
        <f>Projekts!H6</f>
        <v>4</v>
      </c>
      <c r="J10" s="385">
        <f>Projekts!I6</f>
        <v>5</v>
      </c>
      <c r="K10" s="385">
        <f>Projekts!J6</f>
        <v>6</v>
      </c>
      <c r="L10" s="385">
        <f>Projekts!K6</f>
        <v>7</v>
      </c>
      <c r="M10" s="385">
        <f>Projekts!L6</f>
        <v>8</v>
      </c>
      <c r="N10" s="385">
        <f>Projekts!M6</f>
        <v>9</v>
      </c>
      <c r="O10" s="385">
        <f>Projekts!N6</f>
        <v>10</v>
      </c>
      <c r="P10" s="385">
        <f>Projekts!O6</f>
        <v>11</v>
      </c>
      <c r="Q10" s="385">
        <f>Projekts!P6</f>
        <v>12</v>
      </c>
      <c r="R10" s="385">
        <f>Projekts!Q6</f>
        <v>13</v>
      </c>
      <c r="S10" s="385">
        <f>Projekts!R6</f>
        <v>14</v>
      </c>
      <c r="T10" s="385">
        <f>Projekts!S6</f>
        <v>15</v>
      </c>
      <c r="U10" s="385">
        <f>Projekts!T6</f>
        <v>16</v>
      </c>
      <c r="V10" s="385">
        <f>Projekts!U6</f>
        <v>17</v>
      </c>
      <c r="W10" s="385">
        <f>Projekts!V6</f>
        <v>18</v>
      </c>
      <c r="X10" s="385">
        <f>Projekts!W6</f>
        <v>19</v>
      </c>
      <c r="Y10" s="385">
        <f>Projekts!X6</f>
        <v>20</v>
      </c>
      <c r="Z10" s="381"/>
      <c r="AA10" s="381"/>
      <c r="AB10" s="381"/>
      <c r="AC10" s="381"/>
      <c r="AD10" s="381"/>
      <c r="AE10" s="381"/>
      <c r="AF10" s="381"/>
      <c r="AG10" s="381"/>
      <c r="AH10" s="381"/>
      <c r="AI10" s="381"/>
      <c r="AJ10" s="381"/>
    </row>
    <row r="11" spans="1:36" collapsed="1" x14ac:dyDescent="0.2">
      <c r="B11" s="357" t="s">
        <v>147</v>
      </c>
      <c r="C11" s="381"/>
      <c r="D11" s="381"/>
      <c r="E11" s="386">
        <f>'Proj_FinEkonAnalize '!G4</f>
        <v>2.4E-2</v>
      </c>
      <c r="F11" s="386">
        <f>'Proj_FinEkonAnalize '!H4</f>
        <v>0.02</v>
      </c>
      <c r="G11" s="386">
        <f>'Proj_FinEkonAnalize '!I4</f>
        <v>0.02</v>
      </c>
      <c r="H11" s="386">
        <f>'Proj_FinEkonAnalize '!J4</f>
        <v>0.02</v>
      </c>
      <c r="I11" s="386">
        <f>'Proj_FinEkonAnalize '!K4</f>
        <v>0.02</v>
      </c>
      <c r="J11" s="386">
        <f>'Proj_FinEkonAnalize '!L4</f>
        <v>0.02</v>
      </c>
      <c r="K11" s="386">
        <f>'Proj_FinEkonAnalize '!M4</f>
        <v>0.02</v>
      </c>
      <c r="L11" s="386">
        <f>'Proj_FinEkonAnalize '!N4</f>
        <v>0.02</v>
      </c>
      <c r="M11" s="386">
        <f>'Proj_FinEkonAnalize '!O4</f>
        <v>0.02</v>
      </c>
      <c r="N11" s="386">
        <f>'Proj_FinEkonAnalize '!P4</f>
        <v>0.02</v>
      </c>
      <c r="O11" s="386">
        <f>'Proj_FinEkonAnalize '!Q4</f>
        <v>0.02</v>
      </c>
      <c r="P11" s="386">
        <f>'Proj_FinEkonAnalize '!R4</f>
        <v>0.02</v>
      </c>
      <c r="Q11" s="386">
        <f>'Proj_FinEkonAnalize '!S4</f>
        <v>0.02</v>
      </c>
      <c r="R11" s="386">
        <f>'Proj_FinEkonAnalize '!T4</f>
        <v>0.02</v>
      </c>
      <c r="S11" s="386">
        <f>'Proj_FinEkonAnalize '!U4</f>
        <v>0.02</v>
      </c>
      <c r="T11" s="386">
        <f>'Proj_FinEkonAnalize '!V4</f>
        <v>0.02</v>
      </c>
      <c r="U11" s="386">
        <f>'Proj_FinEkonAnalize '!W4</f>
        <v>0.02</v>
      </c>
      <c r="V11" s="386">
        <f>'Proj_FinEkonAnalize '!X4</f>
        <v>0.02</v>
      </c>
      <c r="W11" s="386">
        <f>'Proj_FinEkonAnalize '!Y4</f>
        <v>0.02</v>
      </c>
      <c r="X11" s="386">
        <f>'Proj_FinEkonAnalize '!Z4</f>
        <v>0.02</v>
      </c>
      <c r="Y11" s="386">
        <f>'Proj_FinEkonAnalize '!AA4</f>
        <v>0.02</v>
      </c>
      <c r="Z11" s="381"/>
      <c r="AA11" s="381"/>
      <c r="AB11" s="381"/>
      <c r="AC11" s="381"/>
      <c r="AD11" s="381"/>
      <c r="AE11" s="381"/>
      <c r="AF11" s="381"/>
      <c r="AG11" s="381"/>
      <c r="AH11" s="381"/>
      <c r="AI11" s="381"/>
      <c r="AJ11" s="381"/>
    </row>
    <row r="12" spans="1:36" x14ac:dyDescent="0.2">
      <c r="B12" s="387"/>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row>
    <row r="13" spans="1:36" x14ac:dyDescent="0.2">
      <c r="B13" s="451" t="s">
        <v>172</v>
      </c>
      <c r="C13" s="381"/>
      <c r="D13" s="389" t="s">
        <v>160</v>
      </c>
      <c r="E13" s="381"/>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row>
    <row r="14" spans="1:36" x14ac:dyDescent="0.2">
      <c r="B14" s="390" t="s">
        <v>149</v>
      </c>
      <c r="C14" s="453"/>
      <c r="D14" s="389"/>
      <c r="E14" s="391">
        <f>SUM(E15:E18)</f>
        <v>-7529765.0910719996</v>
      </c>
      <c r="F14" s="391">
        <f t="shared" ref="F14:W14" si="0">SUM(F15:F18)</f>
        <v>-64986.063885066236</v>
      </c>
      <c r="G14" s="391">
        <f t="shared" si="0"/>
        <v>-65384.981226652628</v>
      </c>
      <c r="H14" s="391">
        <f t="shared" si="0"/>
        <v>-65792.275832412328</v>
      </c>
      <c r="I14" s="391">
        <f t="shared" si="0"/>
        <v>-66208.123624892978</v>
      </c>
      <c r="J14" s="391">
        <f t="shared" si="0"/>
        <v>-66632.704221015752</v>
      </c>
      <c r="K14" s="391">
        <f t="shared" si="0"/>
        <v>-67066.201009657074</v>
      </c>
      <c r="L14" s="391">
        <f t="shared" si="0"/>
        <v>-67508.80123085987</v>
      </c>
      <c r="M14" s="391">
        <f t="shared" si="0"/>
        <v>-67960.696056707922</v>
      </c>
      <c r="N14" s="391">
        <f t="shared" si="0"/>
        <v>-296495.68292022799</v>
      </c>
      <c r="O14" s="391">
        <f t="shared" si="0"/>
        <v>-68893.154368050658</v>
      </c>
      <c r="P14" s="391">
        <f t="shared" si="0"/>
        <v>-69374.120609779726</v>
      </c>
      <c r="Q14" s="391">
        <f t="shared" si="0"/>
        <v>-69865.187142585099</v>
      </c>
      <c r="R14" s="391">
        <f t="shared" si="0"/>
        <v>-70366.566072579386</v>
      </c>
      <c r="S14" s="391">
        <f t="shared" si="0"/>
        <v>-70878.47396010354</v>
      </c>
      <c r="T14" s="391">
        <f t="shared" si="0"/>
        <v>-71401.131913265723</v>
      </c>
      <c r="U14" s="391">
        <f t="shared" si="0"/>
        <v>-71934.765683444275</v>
      </c>
      <c r="V14" s="391">
        <f t="shared" si="0"/>
        <v>-72479.605762796622</v>
      </c>
      <c r="W14" s="391">
        <f t="shared" si="0"/>
        <v>-73035.887483815342</v>
      </c>
      <c r="X14" s="391">
        <f t="shared" ref="X14:Y14" si="1">SUM(X15:X18)</f>
        <v>-686969.27712910436</v>
      </c>
      <c r="Y14" s="391">
        <f t="shared" si="1"/>
        <v>-74183.741994515964</v>
      </c>
      <c r="Z14" s="392"/>
      <c r="AA14" s="391">
        <f>SUM(E14:X14)</f>
        <v>-9682998.791205015</v>
      </c>
      <c r="AB14" s="381"/>
      <c r="AC14" s="381"/>
      <c r="AD14" s="381"/>
      <c r="AE14" s="381"/>
      <c r="AF14" s="381"/>
      <c r="AG14" s="381"/>
      <c r="AH14" s="381"/>
      <c r="AI14" s="381"/>
      <c r="AJ14" s="381"/>
    </row>
    <row r="15" spans="1:36" x14ac:dyDescent="0.2">
      <c r="B15" s="393" t="s">
        <v>149</v>
      </c>
      <c r="C15" s="453"/>
      <c r="D15" s="389" t="s">
        <v>161</v>
      </c>
      <c r="E15" s="394">
        <f>Projekts!D27</f>
        <v>-7171204.8486399995</v>
      </c>
      <c r="F15" s="394">
        <f>Projekts!E27</f>
        <v>-61891.489414348798</v>
      </c>
      <c r="G15" s="394">
        <f>Projekts!F27</f>
        <v>-62271.410692050122</v>
      </c>
      <c r="H15" s="394">
        <f>Projekts!G27</f>
        <v>-62659.310316583171</v>
      </c>
      <c r="I15" s="394">
        <f>Projekts!H27</f>
        <v>-63055.355833231413</v>
      </c>
      <c r="J15" s="394">
        <f>Projekts!I27</f>
        <v>-63459.718305729286</v>
      </c>
      <c r="K15" s="394">
        <f>Projekts!J27</f>
        <v>-63872.572390149588</v>
      </c>
      <c r="L15" s="394">
        <f>Projekts!K27</f>
        <v>-64294.096410342732</v>
      </c>
      <c r="M15" s="394">
        <f>Projekts!L27</f>
        <v>-64724.47243495992</v>
      </c>
      <c r="N15" s="394">
        <f>Projekts!M27</f>
        <v>-282376.84087640763</v>
      </c>
      <c r="O15" s="394">
        <f>Projekts!N27</f>
        <v>-65612.527969572053</v>
      </c>
      <c r="P15" s="394">
        <f>Projekts!O27</f>
        <v>-66070.591056933074</v>
      </c>
      <c r="Q15" s="394">
        <f>Projekts!P27</f>
        <v>-66538.273469128661</v>
      </c>
      <c r="R15" s="394">
        <f>Projekts!Q27</f>
        <v>-67015.77721198037</v>
      </c>
      <c r="S15" s="394">
        <f>Projekts!R27</f>
        <v>-67503.308533431948</v>
      </c>
      <c r="T15" s="394">
        <f>Projekts!S27</f>
        <v>-68001.078012634025</v>
      </c>
      <c r="U15" s="394">
        <f>Projekts!T27</f>
        <v>-68509.300650899313</v>
      </c>
      <c r="V15" s="394">
        <f>Projekts!U27</f>
        <v>-69028.195964568207</v>
      </c>
      <c r="W15" s="394">
        <f>Projekts!V27</f>
        <v>-69557.988079824136</v>
      </c>
      <c r="X15" s="394">
        <f>Projekts!W27</f>
        <v>-654256.45440867078</v>
      </c>
      <c r="Y15" s="394">
        <f>Projekts!X27</f>
        <v>-70651.182851919963</v>
      </c>
      <c r="Z15" s="392"/>
      <c r="AA15" s="391">
        <f t="shared" ref="AA15:AA68" si="2">SUM(E15:X15)</f>
        <v>-9221903.610671442</v>
      </c>
      <c r="AB15" s="381"/>
      <c r="AC15" s="381"/>
      <c r="AD15" s="381"/>
      <c r="AE15" s="381"/>
      <c r="AF15" s="381"/>
      <c r="AG15" s="381"/>
      <c r="AH15" s="381"/>
      <c r="AI15" s="381"/>
      <c r="AJ15" s="381"/>
    </row>
    <row r="16" spans="1:36" s="468" customFormat="1" x14ac:dyDescent="0.2">
      <c r="A16" s="479"/>
      <c r="B16" s="469" t="s">
        <v>350</v>
      </c>
      <c r="C16" s="480">
        <v>0.05</v>
      </c>
      <c r="D16" s="471" t="s">
        <v>161</v>
      </c>
      <c r="E16" s="472">
        <f>E15*$C$16</f>
        <v>-358560.242432</v>
      </c>
      <c r="F16" s="472">
        <f t="shared" ref="F16:Y16" si="3">F15*$C$16</f>
        <v>-3094.5744707174399</v>
      </c>
      <c r="G16" s="472">
        <f t="shared" si="3"/>
        <v>-3113.5705346025061</v>
      </c>
      <c r="H16" s="472">
        <f t="shared" si="3"/>
        <v>-3132.9655158291589</v>
      </c>
      <c r="I16" s="472">
        <f t="shared" si="3"/>
        <v>-3152.7677916615708</v>
      </c>
      <c r="J16" s="472">
        <f t="shared" si="3"/>
        <v>-3172.9859152864647</v>
      </c>
      <c r="K16" s="472">
        <f t="shared" si="3"/>
        <v>-3193.6286195074795</v>
      </c>
      <c r="L16" s="472">
        <f t="shared" si="3"/>
        <v>-3214.7048205171368</v>
      </c>
      <c r="M16" s="472">
        <f t="shared" si="3"/>
        <v>-3236.2236217479963</v>
      </c>
      <c r="N16" s="472">
        <f t="shared" si="3"/>
        <v>-14118.842043820383</v>
      </c>
      <c r="O16" s="472">
        <f t="shared" si="3"/>
        <v>-3280.6263984786028</v>
      </c>
      <c r="P16" s="472">
        <f t="shared" si="3"/>
        <v>-3303.529552846654</v>
      </c>
      <c r="Q16" s="472">
        <f t="shared" si="3"/>
        <v>-3326.9136734564331</v>
      </c>
      <c r="R16" s="472">
        <f t="shared" si="3"/>
        <v>-3350.7888605990188</v>
      </c>
      <c r="S16" s="472">
        <f t="shared" si="3"/>
        <v>-3375.1654266715977</v>
      </c>
      <c r="T16" s="472">
        <f t="shared" si="3"/>
        <v>-3400.0539006317013</v>
      </c>
      <c r="U16" s="472">
        <f t="shared" si="3"/>
        <v>-3425.4650325449657</v>
      </c>
      <c r="V16" s="472">
        <f t="shared" si="3"/>
        <v>-3451.4097982284106</v>
      </c>
      <c r="W16" s="472">
        <f t="shared" si="3"/>
        <v>-3477.8994039912068</v>
      </c>
      <c r="X16" s="472">
        <f t="shared" si="3"/>
        <v>-32712.822720433542</v>
      </c>
      <c r="Y16" s="472">
        <f t="shared" si="3"/>
        <v>-3532.5591425959983</v>
      </c>
      <c r="Z16" s="473"/>
      <c r="AA16" s="478">
        <f t="shared" si="2"/>
        <v>-461095.18053357227</v>
      </c>
      <c r="AB16" s="474"/>
      <c r="AC16" s="474"/>
      <c r="AD16" s="474"/>
      <c r="AE16" s="474"/>
      <c r="AF16" s="474"/>
      <c r="AG16" s="474"/>
      <c r="AH16" s="474"/>
      <c r="AI16" s="474"/>
      <c r="AJ16" s="474"/>
    </row>
    <row r="17" spans="1:36" x14ac:dyDescent="0.2">
      <c r="B17" s="393"/>
      <c r="C17" s="453"/>
      <c r="D17" s="389" t="s">
        <v>161</v>
      </c>
      <c r="E17" s="394"/>
      <c r="F17" s="394"/>
      <c r="G17" s="394"/>
      <c r="H17" s="394"/>
      <c r="I17" s="394"/>
      <c r="J17" s="394"/>
      <c r="K17" s="394"/>
      <c r="L17" s="394"/>
      <c r="M17" s="394"/>
      <c r="N17" s="394"/>
      <c r="O17" s="394"/>
      <c r="P17" s="394"/>
      <c r="Q17" s="394"/>
      <c r="R17" s="394"/>
      <c r="S17" s="394"/>
      <c r="T17" s="394"/>
      <c r="U17" s="394"/>
      <c r="V17" s="394"/>
      <c r="W17" s="394"/>
      <c r="X17" s="394"/>
      <c r="Y17" s="394"/>
      <c r="Z17" s="392"/>
      <c r="AA17" s="391">
        <f t="shared" si="2"/>
        <v>0</v>
      </c>
      <c r="AB17" s="381"/>
      <c r="AC17" s="381"/>
      <c r="AD17" s="381"/>
      <c r="AE17" s="381"/>
      <c r="AF17" s="381"/>
      <c r="AG17" s="381"/>
      <c r="AH17" s="381"/>
      <c r="AI17" s="381"/>
      <c r="AJ17" s="381"/>
    </row>
    <row r="18" spans="1:36" x14ac:dyDescent="0.2">
      <c r="B18" s="393"/>
      <c r="C18" s="453"/>
      <c r="D18" s="389" t="s">
        <v>161</v>
      </c>
      <c r="E18" s="394"/>
      <c r="F18" s="394"/>
      <c r="G18" s="394"/>
      <c r="H18" s="394"/>
      <c r="I18" s="394"/>
      <c r="J18" s="394"/>
      <c r="K18" s="394"/>
      <c r="L18" s="394"/>
      <c r="M18" s="394"/>
      <c r="N18" s="394"/>
      <c r="O18" s="394"/>
      <c r="P18" s="394"/>
      <c r="Q18" s="394"/>
      <c r="R18" s="394"/>
      <c r="S18" s="394"/>
      <c r="T18" s="394"/>
      <c r="U18" s="394"/>
      <c r="V18" s="394"/>
      <c r="W18" s="394"/>
      <c r="X18" s="394"/>
      <c r="Y18" s="394"/>
      <c r="Z18" s="392"/>
      <c r="AA18" s="391">
        <f t="shared" si="2"/>
        <v>0</v>
      </c>
      <c r="AB18" s="381"/>
      <c r="AC18" s="381"/>
      <c r="AD18" s="381"/>
      <c r="AE18" s="381"/>
      <c r="AF18" s="381"/>
      <c r="AG18" s="381"/>
      <c r="AH18" s="381"/>
      <c r="AI18" s="381"/>
      <c r="AJ18" s="381"/>
    </row>
    <row r="19" spans="1:36" x14ac:dyDescent="0.2">
      <c r="B19" s="387"/>
      <c r="C19" s="453"/>
      <c r="D19" s="389"/>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81"/>
      <c r="AC19" s="381"/>
      <c r="AD19" s="381"/>
      <c r="AE19" s="381"/>
      <c r="AF19" s="381"/>
      <c r="AG19" s="381"/>
      <c r="AH19" s="381"/>
      <c r="AI19" s="381"/>
      <c r="AJ19" s="381"/>
    </row>
    <row r="20" spans="1:36" x14ac:dyDescent="0.2">
      <c r="B20" s="390" t="s">
        <v>150</v>
      </c>
      <c r="C20" s="453"/>
      <c r="D20" s="389"/>
      <c r="E20" s="391">
        <f>E21+E26</f>
        <v>0</v>
      </c>
      <c r="F20" s="391">
        <f>F21+F26</f>
        <v>-1852703.4716821313</v>
      </c>
      <c r="G20" s="391">
        <f>G21+G26</f>
        <v>-1843851.6047884894</v>
      </c>
      <c r="H20" s="391">
        <f t="shared" ref="H20:I20" si="4">H21+H26</f>
        <v>-1835600.940408865</v>
      </c>
      <c r="I20" s="391">
        <f t="shared" si="4"/>
        <v>-1827845.6473508985</v>
      </c>
      <c r="J20" s="391">
        <f t="shared" ref="J20:V20" si="5">J21+J26</f>
        <v>-1820627.8430910665</v>
      </c>
      <c r="K20" s="391">
        <f t="shared" si="5"/>
        <v>-1813894.212642658</v>
      </c>
      <c r="L20" s="391">
        <f t="shared" si="5"/>
        <v>-1807739.9759753956</v>
      </c>
      <c r="M20" s="391">
        <f t="shared" si="5"/>
        <v>-1802160.6822673907</v>
      </c>
      <c r="N20" s="391">
        <f t="shared" si="5"/>
        <v>-1797098.6302361256</v>
      </c>
      <c r="O20" s="391">
        <f t="shared" si="5"/>
        <v>-1792503.011266707</v>
      </c>
      <c r="P20" s="391">
        <f t="shared" si="5"/>
        <v>-1788370.3264945778</v>
      </c>
      <c r="Q20" s="391">
        <f t="shared" si="5"/>
        <v>-1784897.3766836566</v>
      </c>
      <c r="R20" s="391">
        <f t="shared" si="5"/>
        <v>-1787526.5389465566</v>
      </c>
      <c r="S20" s="391">
        <f t="shared" si="5"/>
        <v>-1790458.4472170626</v>
      </c>
      <c r="T20" s="391">
        <f t="shared" si="5"/>
        <v>-1793739.8441389585</v>
      </c>
      <c r="U20" s="391">
        <f t="shared" si="5"/>
        <v>-1797426.4835352255</v>
      </c>
      <c r="V20" s="391">
        <f t="shared" si="5"/>
        <v>-1801619.9021241262</v>
      </c>
      <c r="W20" s="391">
        <f t="shared" ref="W20:Y20" si="6">W21+W26</f>
        <v>-1806121.8255331095</v>
      </c>
      <c r="X20" s="391">
        <f t="shared" si="6"/>
        <v>-1811034.1660003839</v>
      </c>
      <c r="Y20" s="391">
        <f t="shared" si="6"/>
        <v>-1816259.0202788373</v>
      </c>
      <c r="Z20" s="392"/>
      <c r="AA20" s="391">
        <f t="shared" si="2"/>
        <v>-34355220.930383384</v>
      </c>
      <c r="AB20" s="381"/>
      <c r="AC20" s="381"/>
      <c r="AD20" s="381"/>
      <c r="AE20" s="381"/>
      <c r="AF20" s="381"/>
      <c r="AG20" s="381"/>
      <c r="AH20" s="381"/>
      <c r="AI20" s="381"/>
      <c r="AJ20" s="381"/>
    </row>
    <row r="21" spans="1:36" x14ac:dyDescent="0.2">
      <c r="B21" s="400" t="s">
        <v>151</v>
      </c>
      <c r="C21" s="453"/>
      <c r="D21" s="389"/>
      <c r="E21" s="391">
        <f>SUM(E22:E25)</f>
        <v>0</v>
      </c>
      <c r="F21" s="391">
        <f t="shared" ref="F21:I21" si="7">SUM(F22:F25)</f>
        <v>-1791403.4716821313</v>
      </c>
      <c r="G21" s="391">
        <f t="shared" si="7"/>
        <v>-1781251.6047884894</v>
      </c>
      <c r="H21" s="391">
        <f t="shared" si="7"/>
        <v>-1771600.940408865</v>
      </c>
      <c r="I21" s="391">
        <f t="shared" si="7"/>
        <v>-1762445.6473508985</v>
      </c>
      <c r="J21" s="391">
        <f t="shared" ref="J21:V21" si="8">SUM(J22:J25)</f>
        <v>-1753827.8430910665</v>
      </c>
      <c r="K21" s="391">
        <f t="shared" si="8"/>
        <v>-1745694.212642658</v>
      </c>
      <c r="L21" s="391">
        <f t="shared" si="8"/>
        <v>-1738139.9759753956</v>
      </c>
      <c r="M21" s="391">
        <f t="shared" si="8"/>
        <v>-1731060.6822673907</v>
      </c>
      <c r="N21" s="391">
        <f t="shared" si="8"/>
        <v>-1724498.6302361256</v>
      </c>
      <c r="O21" s="391">
        <f t="shared" si="8"/>
        <v>-1718403.011266707</v>
      </c>
      <c r="P21" s="391">
        <f t="shared" si="8"/>
        <v>-1712770.3264945778</v>
      </c>
      <c r="Q21" s="391">
        <f t="shared" si="8"/>
        <v>-1707697.3766836566</v>
      </c>
      <c r="R21" s="391">
        <f t="shared" si="8"/>
        <v>-1708726.5389465566</v>
      </c>
      <c r="S21" s="391">
        <f t="shared" si="8"/>
        <v>-1710058.4472170626</v>
      </c>
      <c r="T21" s="391">
        <f t="shared" si="8"/>
        <v>-1711739.8441389585</v>
      </c>
      <c r="U21" s="391">
        <f t="shared" si="8"/>
        <v>-1713726.4835352255</v>
      </c>
      <c r="V21" s="391">
        <f t="shared" si="8"/>
        <v>-1716119.9021241262</v>
      </c>
      <c r="W21" s="391">
        <f t="shared" ref="W21:Y21" si="9">SUM(W22:W25)</f>
        <v>-1718821.8255331095</v>
      </c>
      <c r="X21" s="391">
        <f t="shared" si="9"/>
        <v>-1721834.1660003839</v>
      </c>
      <c r="Y21" s="391">
        <f t="shared" si="9"/>
        <v>-1725159.0202788373</v>
      </c>
      <c r="Z21" s="392"/>
      <c r="AA21" s="391">
        <f t="shared" si="2"/>
        <v>-32939820.930383388</v>
      </c>
      <c r="AB21" s="381"/>
      <c r="AC21" s="381"/>
      <c r="AD21" s="381"/>
      <c r="AE21" s="381"/>
      <c r="AF21" s="381"/>
      <c r="AG21" s="381"/>
      <c r="AH21" s="381"/>
      <c r="AI21" s="381"/>
      <c r="AJ21" s="381"/>
    </row>
    <row r="22" spans="1:36" x14ac:dyDescent="0.2">
      <c r="B22" s="393" t="s">
        <v>180</v>
      </c>
      <c r="C22" s="463">
        <v>0</v>
      </c>
      <c r="D22" s="389" t="s">
        <v>161</v>
      </c>
      <c r="E22" s="394">
        <f>Projekts!D39*(1+$C$22)</f>
        <v>0</v>
      </c>
      <c r="F22" s="394">
        <f>Projekts!E39*(1+$C$22)</f>
        <v>-1754603.4716821313</v>
      </c>
      <c r="G22" s="394">
        <f>Projekts!F39*(1+$C$22)</f>
        <v>-1743651.6047884894</v>
      </c>
      <c r="H22" s="394">
        <f>Projekts!G39*(1+$C$22)</f>
        <v>-1733200.940408865</v>
      </c>
      <c r="I22" s="394">
        <f>Projekts!H39*(1+$C$22)</f>
        <v>-1723245.6473508985</v>
      </c>
      <c r="J22" s="394">
        <f>Projekts!I39*(1+$C$22)</f>
        <v>-1713827.8430910665</v>
      </c>
      <c r="K22" s="394">
        <f>Projekts!J39*(1+$C$22)</f>
        <v>-1704894.212642658</v>
      </c>
      <c r="L22" s="394">
        <f>Projekts!K39*(1+$C$22)</f>
        <v>-1696439.9759753956</v>
      </c>
      <c r="M22" s="394">
        <f>Projekts!L39*(1+$C$22)</f>
        <v>-1688460.6822673907</v>
      </c>
      <c r="N22" s="394">
        <f>Projekts!M39*(1+$C$22)</f>
        <v>-1680998.6302361256</v>
      </c>
      <c r="O22" s="394">
        <f>Projekts!N39*(1+$C$22)</f>
        <v>-1674003.011266707</v>
      </c>
      <c r="P22" s="394">
        <f>Projekts!O39*(1+$C$22)</f>
        <v>-1667470.3264945778</v>
      </c>
      <c r="Q22" s="394">
        <f>Projekts!P39*(1+$C$22)</f>
        <v>-1661397.3766836566</v>
      </c>
      <c r="R22" s="394">
        <f>Projekts!Q39*(1+$C$22)</f>
        <v>-1661426.5389465566</v>
      </c>
      <c r="S22" s="394">
        <f>Projekts!R39*(1+$C$22)</f>
        <v>-1661758.4472170626</v>
      </c>
      <c r="T22" s="394">
        <f>Projekts!S39*(1+$C$22)</f>
        <v>-1662439.8441389585</v>
      </c>
      <c r="U22" s="394">
        <f>Projekts!T39*(1+$C$22)</f>
        <v>-1663426.4835352255</v>
      </c>
      <c r="V22" s="394">
        <f>Projekts!U39*(1+$C$22)</f>
        <v>-1664719.9021241262</v>
      </c>
      <c r="W22" s="394">
        <f>Projekts!V39*(1+$C$22)</f>
        <v>-1666321.8255331095</v>
      </c>
      <c r="X22" s="394">
        <f>Projekts!W39*(1+$C$22)</f>
        <v>-1668234.1660003839</v>
      </c>
      <c r="Y22" s="394">
        <f>Projekts!X39*(1+$C$22)</f>
        <v>-1670459.0202788373</v>
      </c>
      <c r="Z22" s="392"/>
      <c r="AA22" s="391">
        <f t="shared" si="2"/>
        <v>-32090520.930383388</v>
      </c>
      <c r="AB22" s="381"/>
      <c r="AC22" s="381"/>
      <c r="AD22" s="381"/>
      <c r="AE22" s="381"/>
      <c r="AF22" s="381"/>
      <c r="AG22" s="381"/>
      <c r="AH22" s="381"/>
      <c r="AI22" s="381"/>
      <c r="AJ22" s="381"/>
    </row>
    <row r="23" spans="1:36" s="468" customFormat="1" x14ac:dyDescent="0.2">
      <c r="A23" s="479"/>
      <c r="B23" s="469" t="s">
        <v>361</v>
      </c>
      <c r="C23" s="481"/>
      <c r="D23" s="471" t="s">
        <v>161</v>
      </c>
      <c r="E23" s="472"/>
      <c r="F23" s="472">
        <f>-ROUND((3000*12)*(1+'Proj_FinEkonAnalize '!H5),-2)</f>
        <v>-36800</v>
      </c>
      <c r="G23" s="472">
        <f>ROUND(F23*(1+'Proj_FinEkonAnalize '!I5),-2)</f>
        <v>-37600</v>
      </c>
      <c r="H23" s="472">
        <f>ROUND(G23*(1+'Proj_FinEkonAnalize '!J5),-2)</f>
        <v>-38400</v>
      </c>
      <c r="I23" s="472">
        <f>ROUND(H23*(1+'Proj_FinEkonAnalize '!K5),-2)</f>
        <v>-39200</v>
      </c>
      <c r="J23" s="472">
        <f>ROUND(I23*(1+'Proj_FinEkonAnalize '!L5),-2)</f>
        <v>-40000</v>
      </c>
      <c r="K23" s="472">
        <f>ROUND(J23*(1+'Proj_FinEkonAnalize '!M5),-2)</f>
        <v>-40800</v>
      </c>
      <c r="L23" s="472">
        <f>ROUND(K23*(1+'Proj_FinEkonAnalize '!N5),-2)</f>
        <v>-41700</v>
      </c>
      <c r="M23" s="472">
        <f>ROUND(L23*(1+'Proj_FinEkonAnalize '!O5),-2)</f>
        <v>-42600</v>
      </c>
      <c r="N23" s="472">
        <f>ROUND(M23*(1+'Proj_FinEkonAnalize '!P5),-2)</f>
        <v>-43500</v>
      </c>
      <c r="O23" s="472">
        <f>ROUND(N23*(1+'Proj_FinEkonAnalize '!Q5),-2)</f>
        <v>-44400</v>
      </c>
      <c r="P23" s="472">
        <f>ROUND(O23*(1+'Proj_FinEkonAnalize '!R5),-2)</f>
        <v>-45300</v>
      </c>
      <c r="Q23" s="472">
        <f>ROUND(P23*(1+'Proj_FinEkonAnalize '!S5),-2)</f>
        <v>-46300</v>
      </c>
      <c r="R23" s="472">
        <f>ROUND(Q23*(1+'Proj_FinEkonAnalize '!T5),-2)</f>
        <v>-47300</v>
      </c>
      <c r="S23" s="472">
        <f>ROUND(R23*(1+'Proj_FinEkonAnalize '!U5),-2)</f>
        <v>-48300</v>
      </c>
      <c r="T23" s="472">
        <f>ROUND(S23*(1+'Proj_FinEkonAnalize '!V5),-2)</f>
        <v>-49300</v>
      </c>
      <c r="U23" s="472">
        <f>ROUND(T23*(1+'Proj_FinEkonAnalize '!W5),-2)</f>
        <v>-50300</v>
      </c>
      <c r="V23" s="472">
        <f>ROUND(U23*(1+'Proj_FinEkonAnalize '!X5),-2)</f>
        <v>-51400</v>
      </c>
      <c r="W23" s="472">
        <f>ROUND(V23*(1+'Proj_FinEkonAnalize '!Y5),-2)</f>
        <v>-52500</v>
      </c>
      <c r="X23" s="472">
        <f>ROUND(W23*(1+'Proj_FinEkonAnalize '!Z5),-2)</f>
        <v>-53600</v>
      </c>
      <c r="Y23" s="472">
        <f>ROUND(X23*(1+'Proj_FinEkonAnalize '!AA5),-2)</f>
        <v>-54700</v>
      </c>
      <c r="Z23" s="473"/>
      <c r="AA23" s="478">
        <f>SUM(E23:X23)</f>
        <v>-849300</v>
      </c>
      <c r="AB23" s="474"/>
      <c r="AC23" s="474"/>
      <c r="AD23" s="474"/>
      <c r="AE23" s="474"/>
      <c r="AF23" s="474"/>
      <c r="AG23" s="474"/>
      <c r="AH23" s="474"/>
      <c r="AI23" s="474"/>
      <c r="AJ23" s="474"/>
    </row>
    <row r="24" spans="1:36" x14ac:dyDescent="0.2">
      <c r="B24" s="425"/>
      <c r="C24" s="453"/>
      <c r="D24" s="389"/>
      <c r="E24" s="394"/>
      <c r="F24" s="394"/>
      <c r="G24" s="394"/>
      <c r="H24" s="394"/>
      <c r="I24" s="394"/>
      <c r="J24" s="394"/>
      <c r="K24" s="394"/>
      <c r="L24" s="394"/>
      <c r="M24" s="394"/>
      <c r="N24" s="394"/>
      <c r="O24" s="394"/>
      <c r="P24" s="394"/>
      <c r="Q24" s="394"/>
      <c r="R24" s="394"/>
      <c r="S24" s="394"/>
      <c r="T24" s="394"/>
      <c r="U24" s="394"/>
      <c r="V24" s="394"/>
      <c r="W24" s="394"/>
      <c r="X24" s="394"/>
      <c r="Y24" s="394"/>
      <c r="Z24" s="392"/>
      <c r="AA24" s="391">
        <f t="shared" si="2"/>
        <v>0</v>
      </c>
      <c r="AB24" s="381"/>
      <c r="AC24" s="381"/>
      <c r="AD24" s="381"/>
      <c r="AE24" s="381"/>
      <c r="AF24" s="381"/>
      <c r="AG24" s="381"/>
      <c r="AH24" s="381"/>
      <c r="AI24" s="381"/>
      <c r="AJ24" s="381"/>
    </row>
    <row r="25" spans="1:36" x14ac:dyDescent="0.2">
      <c r="B25" s="425"/>
      <c r="C25" s="453"/>
      <c r="D25" s="389"/>
      <c r="E25" s="394"/>
      <c r="F25" s="394"/>
      <c r="G25" s="394"/>
      <c r="H25" s="394"/>
      <c r="I25" s="394"/>
      <c r="J25" s="394"/>
      <c r="K25" s="394"/>
      <c r="L25" s="394"/>
      <c r="M25" s="394"/>
      <c r="N25" s="394"/>
      <c r="O25" s="394"/>
      <c r="P25" s="394"/>
      <c r="Q25" s="394"/>
      <c r="R25" s="394"/>
      <c r="S25" s="394"/>
      <c r="T25" s="394"/>
      <c r="U25" s="394"/>
      <c r="V25" s="394"/>
      <c r="W25" s="394"/>
      <c r="X25" s="394"/>
      <c r="Y25" s="394"/>
      <c r="Z25" s="392"/>
      <c r="AA25" s="391">
        <f t="shared" si="2"/>
        <v>0</v>
      </c>
      <c r="AB25" s="381"/>
      <c r="AC25" s="381"/>
      <c r="AD25" s="381"/>
      <c r="AE25" s="381"/>
      <c r="AF25" s="381"/>
      <c r="AG25" s="381"/>
      <c r="AH25" s="381"/>
      <c r="AI25" s="381"/>
      <c r="AJ25" s="381"/>
    </row>
    <row r="26" spans="1:36" x14ac:dyDescent="0.2">
      <c r="B26" s="400" t="s">
        <v>152</v>
      </c>
      <c r="C26" s="453"/>
      <c r="D26" s="389"/>
      <c r="E26" s="391">
        <f>SUM(E27:E30)</f>
        <v>0</v>
      </c>
      <c r="F26" s="391">
        <f t="shared" ref="F26:V26" si="10">SUM(F27:F30)</f>
        <v>-61300</v>
      </c>
      <c r="G26" s="391">
        <f t="shared" si="10"/>
        <v>-62600</v>
      </c>
      <c r="H26" s="391">
        <f t="shared" si="10"/>
        <v>-64000</v>
      </c>
      <c r="I26" s="391">
        <f t="shared" si="10"/>
        <v>-65400</v>
      </c>
      <c r="J26" s="391">
        <f t="shared" si="10"/>
        <v>-66800</v>
      </c>
      <c r="K26" s="391">
        <f t="shared" si="10"/>
        <v>-68200</v>
      </c>
      <c r="L26" s="391">
        <f t="shared" si="10"/>
        <v>-69600</v>
      </c>
      <c r="M26" s="391">
        <f t="shared" si="10"/>
        <v>-71100</v>
      </c>
      <c r="N26" s="391">
        <f t="shared" si="10"/>
        <v>-72600</v>
      </c>
      <c r="O26" s="391">
        <f t="shared" si="10"/>
        <v>-74100</v>
      </c>
      <c r="P26" s="391">
        <f t="shared" si="10"/>
        <v>-75600</v>
      </c>
      <c r="Q26" s="391">
        <f t="shared" si="10"/>
        <v>-77200</v>
      </c>
      <c r="R26" s="391">
        <f t="shared" si="10"/>
        <v>-78800</v>
      </c>
      <c r="S26" s="391">
        <f t="shared" si="10"/>
        <v>-80400</v>
      </c>
      <c r="T26" s="391">
        <f t="shared" si="10"/>
        <v>-82000</v>
      </c>
      <c r="U26" s="391">
        <f t="shared" si="10"/>
        <v>-83700</v>
      </c>
      <c r="V26" s="391">
        <f t="shared" si="10"/>
        <v>-85500</v>
      </c>
      <c r="W26" s="391">
        <f t="shared" ref="W26:Y26" si="11">SUM(W27:W30)</f>
        <v>-87300</v>
      </c>
      <c r="X26" s="391">
        <f t="shared" si="11"/>
        <v>-89200</v>
      </c>
      <c r="Y26" s="391">
        <f t="shared" si="11"/>
        <v>-91100</v>
      </c>
      <c r="Z26" s="392"/>
      <c r="AA26" s="391">
        <f t="shared" si="2"/>
        <v>-1415400</v>
      </c>
      <c r="AB26" s="381"/>
      <c r="AC26" s="381"/>
      <c r="AD26" s="381"/>
      <c r="AE26" s="381"/>
      <c r="AF26" s="381"/>
      <c r="AG26" s="381"/>
      <c r="AH26" s="381"/>
      <c r="AI26" s="381"/>
      <c r="AJ26" s="381"/>
    </row>
    <row r="27" spans="1:36" s="468" customFormat="1" x14ac:dyDescent="0.2">
      <c r="A27" s="479"/>
      <c r="B27" s="469" t="s">
        <v>349</v>
      </c>
      <c r="C27" s="481"/>
      <c r="D27" s="471" t="s">
        <v>161</v>
      </c>
      <c r="E27" s="472"/>
      <c r="F27" s="472">
        <f>-ROUND(4000*12*(1+'Proj_FinEkonAnalize '!H5),-2)</f>
        <v>-49000</v>
      </c>
      <c r="G27" s="472">
        <f>ROUND(F27*(1+'Proj_FinEkonAnalize '!I5),-2)</f>
        <v>-50000</v>
      </c>
      <c r="H27" s="472">
        <f>ROUND(G27*(1+'Proj_FinEkonAnalize '!J5),-2)</f>
        <v>-51100</v>
      </c>
      <c r="I27" s="472">
        <f>ROUND(H27*(1+'Proj_FinEkonAnalize '!K5),-2)</f>
        <v>-52200</v>
      </c>
      <c r="J27" s="472">
        <f>ROUND(I27*(1+'Proj_FinEkonAnalize '!L5),-2)</f>
        <v>-53300</v>
      </c>
      <c r="K27" s="472">
        <f>ROUND(J27*(1+'Proj_FinEkonAnalize '!M5),-2)</f>
        <v>-54400</v>
      </c>
      <c r="L27" s="472">
        <f>ROUND(K27*(1+'Proj_FinEkonAnalize '!N5),-2)</f>
        <v>-55500</v>
      </c>
      <c r="M27" s="472">
        <f>ROUND(L27*(1+'Proj_FinEkonAnalize '!O5),-2)</f>
        <v>-56700</v>
      </c>
      <c r="N27" s="472">
        <f>ROUND(M27*(1+'Proj_FinEkonAnalize '!P5),-2)</f>
        <v>-57900</v>
      </c>
      <c r="O27" s="472">
        <f>ROUND(N27*(1+'Proj_FinEkonAnalize '!Q5),-2)</f>
        <v>-59100</v>
      </c>
      <c r="P27" s="472">
        <f>ROUND(O27*(1+'Proj_FinEkonAnalize '!R5),-2)</f>
        <v>-60300</v>
      </c>
      <c r="Q27" s="472">
        <f>ROUND(P27*(1+'Proj_FinEkonAnalize '!S5),-2)</f>
        <v>-61600</v>
      </c>
      <c r="R27" s="472">
        <f>ROUND(Q27*(1+'Proj_FinEkonAnalize '!T5),-2)</f>
        <v>-62900</v>
      </c>
      <c r="S27" s="472">
        <f>ROUND(R27*(1+'Proj_FinEkonAnalize '!U5),-2)</f>
        <v>-64200</v>
      </c>
      <c r="T27" s="472">
        <f>ROUND(S27*(1+'Proj_FinEkonAnalize '!V5),-2)</f>
        <v>-65500</v>
      </c>
      <c r="U27" s="472">
        <f>ROUND(T27*(1+'Proj_FinEkonAnalize '!W5),-2)</f>
        <v>-66900</v>
      </c>
      <c r="V27" s="472">
        <f>ROUND(U27*(1+'Proj_FinEkonAnalize '!X5),-2)</f>
        <v>-68300</v>
      </c>
      <c r="W27" s="472">
        <f>ROUND(V27*(1+'Proj_FinEkonAnalize '!Y5),-2)</f>
        <v>-69700</v>
      </c>
      <c r="X27" s="472">
        <f>ROUND(W27*(1+'Proj_FinEkonAnalize '!Z5),-2)</f>
        <v>-71200</v>
      </c>
      <c r="Y27" s="472">
        <f>ROUND(X27*(1+'Proj_FinEkonAnalize '!AA5),-2)</f>
        <v>-72700</v>
      </c>
      <c r="Z27" s="473"/>
      <c r="AA27" s="478">
        <f t="shared" si="2"/>
        <v>-1129800</v>
      </c>
      <c r="AB27" s="474"/>
      <c r="AC27" s="474"/>
      <c r="AD27" s="474"/>
      <c r="AE27" s="474"/>
      <c r="AF27" s="474"/>
      <c r="AG27" s="474"/>
      <c r="AH27" s="474"/>
      <c r="AI27" s="474"/>
      <c r="AJ27" s="474"/>
    </row>
    <row r="28" spans="1:36" s="468" customFormat="1" x14ac:dyDescent="0.2">
      <c r="A28" s="479"/>
      <c r="B28" s="469" t="s">
        <v>353</v>
      </c>
      <c r="C28" s="481"/>
      <c r="D28" s="471" t="s">
        <v>161</v>
      </c>
      <c r="E28" s="472"/>
      <c r="F28" s="472">
        <f>-ROUND(1000*12*(1+'Proj_FinEkonAnalize '!H5),-2)</f>
        <v>-12300</v>
      </c>
      <c r="G28" s="472">
        <f>ROUND(F28*(1+'Proj_FinEkonAnalize '!I5),-2)</f>
        <v>-12600</v>
      </c>
      <c r="H28" s="472">
        <f>ROUND(G28*(1+'Proj_FinEkonAnalize '!J5),-2)</f>
        <v>-12900</v>
      </c>
      <c r="I28" s="472">
        <f>ROUND(H28*(1+'Proj_FinEkonAnalize '!K5),-2)</f>
        <v>-13200</v>
      </c>
      <c r="J28" s="472">
        <f>ROUND(I28*(1+'Proj_FinEkonAnalize '!L5),-2)</f>
        <v>-13500</v>
      </c>
      <c r="K28" s="472">
        <f>ROUND(J28*(1+'Proj_FinEkonAnalize '!M5),-2)</f>
        <v>-13800</v>
      </c>
      <c r="L28" s="472">
        <f>ROUND(K28*(1+'Proj_FinEkonAnalize '!N5),-2)</f>
        <v>-14100</v>
      </c>
      <c r="M28" s="472">
        <f>ROUND(L28*(1+'Proj_FinEkonAnalize '!O5),-2)</f>
        <v>-14400</v>
      </c>
      <c r="N28" s="472">
        <f>ROUND(M28*(1+'Proj_FinEkonAnalize '!P5),-2)</f>
        <v>-14700</v>
      </c>
      <c r="O28" s="472">
        <f>ROUND(N28*(1+'Proj_FinEkonAnalize '!Q5),-2)</f>
        <v>-15000</v>
      </c>
      <c r="P28" s="472">
        <f>ROUND(O28*(1+'Proj_FinEkonAnalize '!R5),-2)</f>
        <v>-15300</v>
      </c>
      <c r="Q28" s="472">
        <f>ROUND(P28*(1+'Proj_FinEkonAnalize '!S5),-2)</f>
        <v>-15600</v>
      </c>
      <c r="R28" s="472">
        <f>ROUND(Q28*(1+'Proj_FinEkonAnalize '!T5),-2)</f>
        <v>-15900</v>
      </c>
      <c r="S28" s="472">
        <f>ROUND(R28*(1+'Proj_FinEkonAnalize '!U5),-2)</f>
        <v>-16200</v>
      </c>
      <c r="T28" s="472">
        <f>ROUND(S28*(1+'Proj_FinEkonAnalize '!V5),-2)</f>
        <v>-16500</v>
      </c>
      <c r="U28" s="472">
        <f>ROUND(T28*(1+'Proj_FinEkonAnalize '!W5),-2)</f>
        <v>-16800</v>
      </c>
      <c r="V28" s="472">
        <f>ROUND(U28*(1+'Proj_FinEkonAnalize '!X5),-2)</f>
        <v>-17200</v>
      </c>
      <c r="W28" s="472">
        <f>ROUND(V28*(1+'Proj_FinEkonAnalize '!Y5),-2)</f>
        <v>-17600</v>
      </c>
      <c r="X28" s="472">
        <f>ROUND(W28*(1+'Proj_FinEkonAnalize '!Z5),-2)</f>
        <v>-18000</v>
      </c>
      <c r="Y28" s="472">
        <f>ROUND(X28*(1+'Proj_FinEkonAnalize '!AA5),-2)</f>
        <v>-18400</v>
      </c>
      <c r="Z28" s="473"/>
      <c r="AA28" s="478">
        <f t="shared" si="2"/>
        <v>-285600</v>
      </c>
      <c r="AB28" s="474"/>
      <c r="AC28" s="474"/>
      <c r="AD28" s="474"/>
      <c r="AE28" s="474"/>
      <c r="AF28" s="474"/>
      <c r="AG28" s="474"/>
      <c r="AH28" s="474"/>
      <c r="AI28" s="474"/>
      <c r="AJ28" s="474"/>
    </row>
    <row r="29" spans="1:36" x14ac:dyDescent="0.2">
      <c r="B29" s="393"/>
      <c r="C29" s="453"/>
      <c r="D29" s="389" t="s">
        <v>161</v>
      </c>
      <c r="E29" s="394"/>
      <c r="F29" s="394"/>
      <c r="G29" s="394"/>
      <c r="H29" s="394"/>
      <c r="I29" s="394"/>
      <c r="J29" s="394"/>
      <c r="K29" s="394"/>
      <c r="L29" s="394"/>
      <c r="M29" s="394"/>
      <c r="N29" s="394"/>
      <c r="O29" s="394">
        <f>-Projekts!N75</f>
        <v>0</v>
      </c>
      <c r="P29" s="394">
        <f>-Projekts!O75</f>
        <v>0</v>
      </c>
      <c r="Q29" s="394">
        <f>-Projekts!P75</f>
        <v>0</v>
      </c>
      <c r="R29" s="394">
        <f>-Projekts!Q75</f>
        <v>0</v>
      </c>
      <c r="S29" s="394">
        <f>-Projekts!R75</f>
        <v>0</v>
      </c>
      <c r="T29" s="394">
        <f>-Projekts!S75</f>
        <v>0</v>
      </c>
      <c r="U29" s="394">
        <f>-Projekts!T75</f>
        <v>0</v>
      </c>
      <c r="V29" s="394">
        <f>-Projekts!U75</f>
        <v>0</v>
      </c>
      <c r="W29" s="394">
        <f>-Projekts!V75</f>
        <v>0</v>
      </c>
      <c r="X29" s="394">
        <f>-Projekts!W75</f>
        <v>0</v>
      </c>
      <c r="Y29" s="394">
        <f>-Projekts!X75</f>
        <v>0</v>
      </c>
      <c r="Z29" s="392"/>
      <c r="AA29" s="391">
        <f t="shared" si="2"/>
        <v>0</v>
      </c>
      <c r="AB29" s="381"/>
      <c r="AC29" s="381"/>
      <c r="AD29" s="381"/>
      <c r="AE29" s="381"/>
      <c r="AF29" s="381"/>
      <c r="AG29" s="381"/>
      <c r="AH29" s="381"/>
      <c r="AI29" s="381"/>
      <c r="AJ29" s="381"/>
    </row>
    <row r="30" spans="1:36" x14ac:dyDescent="0.2">
      <c r="A30" s="426"/>
      <c r="B30" s="393"/>
      <c r="C30" s="453"/>
      <c r="D30" s="389" t="s">
        <v>161</v>
      </c>
      <c r="E30" s="394"/>
      <c r="F30" s="394"/>
      <c r="G30" s="394"/>
      <c r="H30" s="394"/>
      <c r="I30" s="394"/>
      <c r="J30" s="394"/>
      <c r="K30" s="394"/>
      <c r="L30" s="394"/>
      <c r="M30" s="394"/>
      <c r="N30" s="394"/>
      <c r="O30" s="394">
        <f>-Projekts!N77</f>
        <v>0</v>
      </c>
      <c r="P30" s="394">
        <f>-Projekts!O77</f>
        <v>0</v>
      </c>
      <c r="Q30" s="394">
        <f>-Projekts!P77</f>
        <v>0</v>
      </c>
      <c r="R30" s="394">
        <f>-Projekts!Q77</f>
        <v>0</v>
      </c>
      <c r="S30" s="394">
        <f>-Projekts!R77</f>
        <v>0</v>
      </c>
      <c r="T30" s="394">
        <f>-Projekts!S77</f>
        <v>0</v>
      </c>
      <c r="U30" s="394">
        <f>-Projekts!T77</f>
        <v>0</v>
      </c>
      <c r="V30" s="394">
        <f>-Projekts!U77</f>
        <v>0</v>
      </c>
      <c r="W30" s="394">
        <f>-Projekts!V77</f>
        <v>0</v>
      </c>
      <c r="X30" s="394">
        <f>-Projekts!W77</f>
        <v>0</v>
      </c>
      <c r="Y30" s="394">
        <f>-Projekts!X77</f>
        <v>0</v>
      </c>
      <c r="Z30" s="392"/>
      <c r="AA30" s="391">
        <f t="shared" si="2"/>
        <v>0</v>
      </c>
      <c r="AB30" s="381"/>
      <c r="AC30" s="381"/>
      <c r="AD30" s="381"/>
      <c r="AE30" s="381"/>
      <c r="AF30" s="381"/>
      <c r="AG30" s="381"/>
      <c r="AH30" s="381"/>
      <c r="AI30" s="381"/>
      <c r="AJ30" s="381"/>
    </row>
    <row r="31" spans="1:36" x14ac:dyDescent="0.2">
      <c r="B31" s="427"/>
      <c r="C31" s="453"/>
      <c r="D31" s="389"/>
      <c r="E31" s="428"/>
      <c r="F31" s="428"/>
      <c r="G31" s="428"/>
      <c r="H31" s="428"/>
      <c r="I31" s="428"/>
      <c r="J31" s="428"/>
      <c r="K31" s="428"/>
      <c r="L31" s="428"/>
      <c r="M31" s="428"/>
      <c r="N31" s="428"/>
      <c r="O31" s="428"/>
      <c r="P31" s="428"/>
      <c r="Q31" s="428"/>
      <c r="R31" s="428"/>
      <c r="S31" s="428"/>
      <c r="T31" s="428"/>
      <c r="U31" s="428"/>
      <c r="V31" s="428"/>
      <c r="W31" s="428"/>
      <c r="X31" s="428"/>
      <c r="Y31" s="428"/>
      <c r="Z31" s="392"/>
      <c r="AA31" s="392"/>
      <c r="AB31" s="381"/>
      <c r="AC31" s="381"/>
      <c r="AD31" s="381"/>
      <c r="AE31" s="381"/>
      <c r="AF31" s="381"/>
      <c r="AG31" s="381"/>
      <c r="AH31" s="381"/>
      <c r="AI31" s="381"/>
      <c r="AJ31" s="381"/>
    </row>
    <row r="32" spans="1:36" x14ac:dyDescent="0.2">
      <c r="B32" s="429" t="s">
        <v>192</v>
      </c>
      <c r="C32" s="453"/>
      <c r="D32" s="389" t="s">
        <v>161</v>
      </c>
      <c r="E32" s="394"/>
      <c r="F32" s="394"/>
      <c r="G32" s="394"/>
      <c r="H32" s="394"/>
      <c r="I32" s="394"/>
      <c r="J32" s="394"/>
      <c r="K32" s="394"/>
      <c r="L32" s="394"/>
      <c r="M32" s="394"/>
      <c r="N32" s="394"/>
      <c r="O32" s="394"/>
      <c r="P32" s="394"/>
      <c r="Q32" s="394"/>
      <c r="R32" s="394"/>
      <c r="S32" s="394"/>
      <c r="T32" s="394"/>
      <c r="U32" s="394"/>
      <c r="V32" s="394"/>
      <c r="W32" s="394"/>
      <c r="X32" s="394"/>
      <c r="Y32" s="394"/>
      <c r="Z32" s="392"/>
      <c r="AA32" s="391">
        <f t="shared" si="2"/>
        <v>0</v>
      </c>
      <c r="AB32" s="381"/>
      <c r="AC32" s="381"/>
      <c r="AD32" s="381"/>
      <c r="AE32" s="381"/>
      <c r="AF32" s="381"/>
      <c r="AG32" s="381"/>
      <c r="AH32" s="381"/>
      <c r="AI32" s="381"/>
      <c r="AJ32" s="381"/>
    </row>
    <row r="33" spans="1:36" x14ac:dyDescent="0.2">
      <c r="B33" s="387"/>
      <c r="C33" s="453"/>
      <c r="D33" s="389"/>
      <c r="E33" s="392"/>
      <c r="F33" s="483">
        <f>F34/'Proj_FinEkonAnalize '!H88</f>
        <v>124.77181043257158</v>
      </c>
      <c r="G33" s="483">
        <f>G34/'Proj_FinEkonAnalize '!I88</f>
        <v>125.19084828113566</v>
      </c>
      <c r="H33" s="483">
        <f>H34/'Proj_FinEkonAnalize '!J88</f>
        <v>125.63927597305327</v>
      </c>
      <c r="I33" s="483">
        <f>I34/'Proj_FinEkonAnalize '!K88</f>
        <v>126.11738663290167</v>
      </c>
      <c r="J33" s="483">
        <f>J34/'Proj_FinEkonAnalize '!L88</f>
        <v>126.62245280519572</v>
      </c>
      <c r="K33" s="483">
        <f>K34/'Proj_FinEkonAnalize '!M88</f>
        <v>127.1577232571768</v>
      </c>
      <c r="L33" s="483">
        <f>L34/'Proj_FinEkonAnalize '!N88</f>
        <v>127.72354959297117</v>
      </c>
      <c r="M33" s="483">
        <f>M34/'Proj_FinEkonAnalize '!O88</f>
        <v>128.32030507178214</v>
      </c>
      <c r="N33" s="483">
        <f>N34/'Proj_FinEkonAnalize '!P88</f>
        <v>129.58192011190681</v>
      </c>
      <c r="O33" s="483">
        <f>O34/'Proj_FinEkonAnalize '!Q88</f>
        <v>130.24308818199458</v>
      </c>
      <c r="P33" s="483">
        <f>P34/'Proj_FinEkonAnalize '!R88</f>
        <v>130.93632714132258</v>
      </c>
      <c r="Q33" s="483">
        <f>Q34/'Proj_FinEkonAnalize '!S88</f>
        <v>131.66209222020987</v>
      </c>
      <c r="R33" s="483">
        <f>R34/'Proj_FinEkonAnalize '!T88</f>
        <v>132.76201120926532</v>
      </c>
      <c r="S33" s="483">
        <f>S34/'Proj_FinEkonAnalize '!U88</f>
        <v>133.89138434064358</v>
      </c>
      <c r="T33" s="483">
        <f>T34/'Proj_FinEkonAnalize '!V88</f>
        <v>135.04699189175861</v>
      </c>
      <c r="U33" s="483">
        <f>U34/'Proj_FinEkonAnalize '!W88</f>
        <v>136.23309100893348</v>
      </c>
      <c r="V33" s="483">
        <f>V34/'Proj_FinEkonAnalize '!X88</f>
        <v>137.45031276706112</v>
      </c>
      <c r="W33" s="483">
        <f>W34/'Proj_FinEkonAnalize '!Y88</f>
        <v>138.69931037288396</v>
      </c>
      <c r="X33" s="483">
        <f>X34/'Proj_FinEkonAnalize '!Z88</f>
        <v>141.82739845933645</v>
      </c>
      <c r="Y33" s="483">
        <f>Y34/'Proj_FinEkonAnalize '!AA88</f>
        <v>131.73531825976099</v>
      </c>
      <c r="Z33" s="392"/>
      <c r="AA33" s="392"/>
      <c r="AB33" s="381"/>
      <c r="AC33" s="381"/>
      <c r="AD33" s="381"/>
      <c r="AE33" s="381"/>
      <c r="AF33" s="381"/>
      <c r="AG33" s="381"/>
      <c r="AH33" s="381"/>
      <c r="AI33" s="381"/>
      <c r="AJ33" s="381"/>
    </row>
    <row r="34" spans="1:36" x14ac:dyDescent="0.2">
      <c r="B34" s="390" t="s">
        <v>153</v>
      </c>
      <c r="C34" s="453"/>
      <c r="D34" s="389"/>
      <c r="E34" s="391">
        <f t="shared" ref="E34:Y34" si="12">SUM(E35:E38)</f>
        <v>0</v>
      </c>
      <c r="F34" s="391">
        <f t="shared" si="12"/>
        <v>2831696.2377672121</v>
      </c>
      <c r="G34" s="391">
        <f t="shared" si="12"/>
        <v>2819923.8575325808</v>
      </c>
      <c r="H34" s="391">
        <f t="shared" si="12"/>
        <v>2808791.6536535788</v>
      </c>
      <c r="I34" s="391">
        <f t="shared" si="12"/>
        <v>2798292.5746108224</v>
      </c>
      <c r="J34" s="391">
        <f t="shared" si="12"/>
        <v>2788479.6556760203</v>
      </c>
      <c r="K34" s="391">
        <f t="shared" si="12"/>
        <v>2779286.3572321134</v>
      </c>
      <c r="L34" s="391">
        <f t="shared" si="12"/>
        <v>2770706.9613203234</v>
      </c>
      <c r="M34" s="391">
        <f t="shared" si="12"/>
        <v>2762736.1681954698</v>
      </c>
      <c r="N34" s="391">
        <f t="shared" si="12"/>
        <v>2769036.0508713368</v>
      </c>
      <c r="O34" s="391">
        <f t="shared" si="12"/>
        <v>2762325.6572519229</v>
      </c>
      <c r="P34" s="391">
        <f t="shared" si="12"/>
        <v>2756209.6863248404</v>
      </c>
      <c r="Q34" s="391">
        <f t="shared" si="12"/>
        <v>2750684.4306646246</v>
      </c>
      <c r="R34" s="391">
        <f t="shared" si="12"/>
        <v>2752820.3024241165</v>
      </c>
      <c r="S34" s="391">
        <f t="shared" si="12"/>
        <v>2755350.7983461046</v>
      </c>
      <c r="T34" s="391">
        <f t="shared" si="12"/>
        <v>2758334.8093891698</v>
      </c>
      <c r="U34" s="391">
        <f t="shared" si="12"/>
        <v>2761717.2209330997</v>
      </c>
      <c r="V34" s="391">
        <f t="shared" si="12"/>
        <v>2765500.2928732699</v>
      </c>
      <c r="W34" s="391">
        <f t="shared" si="12"/>
        <v>2769686.5288361199</v>
      </c>
      <c r="X34" s="391">
        <f t="shared" si="12"/>
        <v>2810877.2100655893</v>
      </c>
      <c r="Y34" s="391">
        <f t="shared" si="12"/>
        <v>2591233.7101694983</v>
      </c>
      <c r="Z34" s="392"/>
      <c r="AA34" s="391">
        <f>SUM(E34:X34)</f>
        <v>52772456.453968316</v>
      </c>
      <c r="AB34" s="381"/>
      <c r="AC34" s="381"/>
      <c r="AD34" s="381"/>
      <c r="AE34" s="381"/>
      <c r="AF34" s="381"/>
      <c r="AG34" s="381"/>
      <c r="AH34" s="381"/>
      <c r="AI34" s="381"/>
      <c r="AJ34" s="381"/>
    </row>
    <row r="35" spans="1:36" x14ac:dyDescent="0.2">
      <c r="B35" s="393" t="str">
        <f>Projekts!B17</f>
        <v>Ienākums no privātā sektora</v>
      </c>
      <c r="C35" s="464">
        <f>F42</f>
        <v>0.25303650386871424</v>
      </c>
      <c r="D35" s="389" t="s">
        <v>162</v>
      </c>
      <c r="E35" s="430">
        <f>Projekts!D17*(1+$C$35)</f>
        <v>0</v>
      </c>
      <c r="F35" s="430">
        <f>Projekts!E17*(1+$C$35)</f>
        <v>2559279.1932099238</v>
      </c>
      <c r="G35" s="430">
        <f>Projekts!F17*(1+$C$35)</f>
        <v>2548639.348657669</v>
      </c>
      <c r="H35" s="430">
        <f>Projekts!G17*(1+$C$35)</f>
        <v>2538578.0937172147</v>
      </c>
      <c r="I35" s="430">
        <f>Projekts!H17*(1+$C$35)</f>
        <v>2529089.0552449315</v>
      </c>
      <c r="J35" s="430">
        <f>Projekts!I17*(1+$C$35)</f>
        <v>2520220.1663720571</v>
      </c>
      <c r="K35" s="430">
        <f>Projekts!J17*(1+$C$35)</f>
        <v>2511911.2887775404</v>
      </c>
      <c r="L35" s="430">
        <f>Projekts!K17*(1+$C$35)</f>
        <v>2504157.2545861234</v>
      </c>
      <c r="M35" s="430">
        <f>Projekts!L17*(1+$C$35)</f>
        <v>2496953.2739028339</v>
      </c>
      <c r="N35" s="430">
        <f>Projekts!M17*(1+$C$35)</f>
        <v>2502647.0903641372</v>
      </c>
      <c r="O35" s="430">
        <f>Projekts!N17*(1+$C$35)</f>
        <v>2496582.25525246</v>
      </c>
      <c r="P35" s="430">
        <f>Projekts!O17*(1+$C$35)</f>
        <v>2491054.6577187991</v>
      </c>
      <c r="Q35" s="430">
        <f>Projekts!P17*(1+$C$35)</f>
        <v>2486060.9470023187</v>
      </c>
      <c r="R35" s="430">
        <f>Projekts!Q17*(1+$C$35)</f>
        <v>2487991.3419650719</v>
      </c>
      <c r="S35" s="430">
        <f>Projekts!R17*(1+$C$35)</f>
        <v>2490278.3971496182</v>
      </c>
      <c r="T35" s="430">
        <f>Projekts!S17*(1+$C$35)</f>
        <v>2492975.3380407244</v>
      </c>
      <c r="U35" s="430">
        <f>Projekts!T17*(1+$C$35)</f>
        <v>2496032.3521977509</v>
      </c>
      <c r="V35" s="430">
        <f>Projekts!U17*(1+$C$35)</f>
        <v>2499451.48210786</v>
      </c>
      <c r="W35" s="430">
        <f>Projekts!V17*(1+$C$35)</f>
        <v>2503234.9905416733</v>
      </c>
      <c r="X35" s="430">
        <f>Projekts!W17*(1+$C$35)</f>
        <v>2540463.0138086905</v>
      </c>
      <c r="Y35" s="430">
        <f>Projekts!X17*(1+$C$35)</f>
        <v>2341949.8287747232</v>
      </c>
      <c r="Z35" s="392"/>
      <c r="AA35" s="391">
        <f>SUM(E35:X35)</f>
        <v>47695599.540617399</v>
      </c>
      <c r="AB35" s="381"/>
      <c r="AC35" s="381"/>
      <c r="AD35" s="381"/>
      <c r="AE35" s="381"/>
      <c r="AF35" s="381"/>
      <c r="AG35" s="381"/>
      <c r="AH35" s="381"/>
      <c r="AI35" s="381"/>
      <c r="AJ35" s="381"/>
    </row>
    <row r="36" spans="1:36" x14ac:dyDescent="0.2">
      <c r="B36" s="425" t="s">
        <v>174</v>
      </c>
      <c r="C36" s="465"/>
      <c r="D36" s="389" t="s">
        <v>162</v>
      </c>
      <c r="E36" s="430">
        <f>Projekts!D20*(1+$C$35)</f>
        <v>0</v>
      </c>
      <c r="F36" s="430">
        <f>Projekts!E20*(1+$C$35)</f>
        <v>272417.04455728846</v>
      </c>
      <c r="G36" s="430">
        <f>Projekts!F20*(1+$C$35)</f>
        <v>271284.50887491187</v>
      </c>
      <c r="H36" s="430">
        <f>Projekts!G20*(1+$C$35)</f>
        <v>270213.55993636401</v>
      </c>
      <c r="I36" s="430">
        <f>Projekts!H20*(1+$C$35)</f>
        <v>269203.51936589082</v>
      </c>
      <c r="J36" s="430">
        <f>Projekts!I20*(1+$C$35)</f>
        <v>268259.48930396343</v>
      </c>
      <c r="K36" s="430">
        <f>Projekts!J20*(1+$C$35)</f>
        <v>267375.06845457276</v>
      </c>
      <c r="L36" s="430">
        <f>Projekts!K20*(1+$C$35)</f>
        <v>266549.70673419995</v>
      </c>
      <c r="M36" s="430">
        <f>Projekts!L20*(1+$C$35)</f>
        <v>265782.89429263584</v>
      </c>
      <c r="N36" s="430">
        <f>Projekts!M20*(1+$C$35)</f>
        <v>266388.9605071994</v>
      </c>
      <c r="O36" s="430">
        <f>Projekts!N20*(1+$C$35)</f>
        <v>265743.40199946269</v>
      </c>
      <c r="P36" s="430">
        <f>Projekts!O20*(1+$C$35)</f>
        <v>265155.02860604116</v>
      </c>
      <c r="Q36" s="430">
        <f>Projekts!P20*(1+$C$35)</f>
        <v>264623.48366230581</v>
      </c>
      <c r="R36" s="430">
        <f>Projekts!Q20*(1+$C$35)</f>
        <v>264828.96045904484</v>
      </c>
      <c r="S36" s="430">
        <f>Projekts!R20*(1+$C$35)</f>
        <v>265072.40119648626</v>
      </c>
      <c r="T36" s="430">
        <f>Projekts!S20*(1+$C$35)</f>
        <v>265359.47134844546</v>
      </c>
      <c r="U36" s="430">
        <f>Projekts!T20*(1+$C$35)</f>
        <v>265684.86873534898</v>
      </c>
      <c r="V36" s="430">
        <f>Projekts!U20*(1+$C$35)</f>
        <v>266048.81076540984</v>
      </c>
      <c r="W36" s="430">
        <f>Projekts!V20*(1+$C$35)</f>
        <v>266451.53829444671</v>
      </c>
      <c r="X36" s="430">
        <f>Projekts!W20*(1+$C$35)</f>
        <v>270414.19625689863</v>
      </c>
      <c r="Y36" s="430">
        <f>Projekts!X20*(1+$C$35)</f>
        <v>249283.88139477491</v>
      </c>
      <c r="Z36" s="392"/>
      <c r="AA36" s="391">
        <f>SUM(E36:X36)</f>
        <v>5076856.9133509165</v>
      </c>
      <c r="AB36" s="381"/>
      <c r="AC36" s="381"/>
      <c r="AD36" s="381"/>
      <c r="AE36" s="381"/>
      <c r="AF36" s="381"/>
      <c r="AG36" s="381"/>
      <c r="AH36" s="381"/>
      <c r="AI36" s="381"/>
      <c r="AJ36" s="381"/>
    </row>
    <row r="37" spans="1:36" x14ac:dyDescent="0.2">
      <c r="B37" s="425"/>
      <c r="C37" s="465"/>
      <c r="E37" s="430"/>
      <c r="F37" s="430"/>
      <c r="G37" s="430"/>
      <c r="H37" s="430"/>
      <c r="I37" s="430"/>
      <c r="J37" s="430"/>
      <c r="K37" s="430"/>
      <c r="L37" s="430"/>
      <c r="M37" s="430"/>
      <c r="N37" s="430"/>
      <c r="O37" s="430"/>
      <c r="P37" s="430"/>
      <c r="Q37" s="430"/>
      <c r="R37" s="430"/>
      <c r="S37" s="430"/>
      <c r="T37" s="430"/>
      <c r="U37" s="430"/>
      <c r="V37" s="430"/>
      <c r="W37" s="430"/>
      <c r="X37" s="430"/>
      <c r="Y37" s="430"/>
      <c r="AA37" s="391">
        <f>SUM(E37:X37)</f>
        <v>0</v>
      </c>
    </row>
    <row r="38" spans="1:36" x14ac:dyDescent="0.2">
      <c r="B38" s="393"/>
      <c r="C38" s="453"/>
      <c r="D38" s="389" t="s">
        <v>162</v>
      </c>
      <c r="E38" s="394"/>
      <c r="F38" s="394"/>
      <c r="G38" s="394"/>
      <c r="H38" s="394"/>
      <c r="I38" s="394"/>
      <c r="J38" s="394"/>
      <c r="K38" s="394"/>
      <c r="L38" s="394"/>
      <c r="M38" s="394"/>
      <c r="N38" s="394"/>
      <c r="O38" s="394"/>
      <c r="P38" s="394"/>
      <c r="Q38" s="394"/>
      <c r="R38" s="394"/>
      <c r="S38" s="394"/>
      <c r="T38" s="394"/>
      <c r="U38" s="394"/>
      <c r="V38" s="394"/>
      <c r="W38" s="394"/>
      <c r="X38" s="394"/>
      <c r="Y38" s="394"/>
      <c r="Z38" s="392"/>
      <c r="AA38" s="391">
        <f t="shared" si="2"/>
        <v>0</v>
      </c>
      <c r="AB38" s="381"/>
      <c r="AC38" s="381"/>
      <c r="AD38" s="381"/>
      <c r="AE38" s="381"/>
      <c r="AF38" s="381"/>
      <c r="AG38" s="381"/>
      <c r="AH38" s="381"/>
      <c r="AI38" s="381"/>
      <c r="AJ38" s="381"/>
    </row>
    <row r="39" spans="1:36" x14ac:dyDescent="0.2">
      <c r="B39" s="387"/>
      <c r="C39" s="381"/>
      <c r="D39" s="381"/>
      <c r="E39" s="392">
        <f>E34/'Proj_FinEkonAnalize '!G88</f>
        <v>0</v>
      </c>
      <c r="F39" s="392">
        <f>F34/'Proj_FinEkonAnalize '!H88</f>
        <v>124.77181043257158</v>
      </c>
      <c r="G39" s="392">
        <f>G34/'Proj_FinEkonAnalize '!I88</f>
        <v>125.19084828113566</v>
      </c>
      <c r="H39" s="392">
        <f>H34/'Proj_FinEkonAnalize '!J88</f>
        <v>125.63927597305327</v>
      </c>
      <c r="I39" s="392">
        <f>I34/'Proj_FinEkonAnalize '!K88</f>
        <v>126.11738663290167</v>
      </c>
      <c r="J39" s="392">
        <f>J34/'Proj_FinEkonAnalize '!L88</f>
        <v>126.62245280519572</v>
      </c>
      <c r="K39" s="392">
        <f>K34/'Proj_FinEkonAnalize '!M88</f>
        <v>127.1577232571768</v>
      </c>
      <c r="L39" s="392">
        <f>L34/'Proj_FinEkonAnalize '!N88</f>
        <v>127.72354959297117</v>
      </c>
      <c r="M39" s="392">
        <f>M34/'Proj_FinEkonAnalize '!O88</f>
        <v>128.32030507178214</v>
      </c>
      <c r="N39" s="392">
        <f>N34/'Proj_FinEkonAnalize '!P88</f>
        <v>129.58192011190681</v>
      </c>
      <c r="O39" s="392">
        <f>O34/'Proj_FinEkonAnalize '!Q88</f>
        <v>130.24308818199458</v>
      </c>
      <c r="P39" s="392">
        <f>P34/'Proj_FinEkonAnalize '!R88</f>
        <v>130.93632714132258</v>
      </c>
      <c r="Q39" s="392">
        <f>Q34/'Proj_FinEkonAnalize '!S88</f>
        <v>131.66209222020987</v>
      </c>
      <c r="R39" s="392">
        <f>R34/'Proj_FinEkonAnalize '!T88</f>
        <v>132.76201120926532</v>
      </c>
      <c r="S39" s="392">
        <f>S34/'Proj_FinEkonAnalize '!U88</f>
        <v>133.89138434064358</v>
      </c>
      <c r="T39" s="392">
        <f>T34/'Proj_FinEkonAnalize '!V88</f>
        <v>135.04699189175861</v>
      </c>
      <c r="U39" s="392">
        <f>U34/'Proj_FinEkonAnalize '!W88</f>
        <v>136.23309100893348</v>
      </c>
      <c r="V39" s="392">
        <f>V34/'Proj_FinEkonAnalize '!X88</f>
        <v>137.45031276706112</v>
      </c>
      <c r="W39" s="392">
        <f>W34/'Proj_FinEkonAnalize '!Y88</f>
        <v>138.69931037288396</v>
      </c>
      <c r="X39" s="392">
        <f>X34/'Proj_FinEkonAnalize '!Z88</f>
        <v>141.82739845933645</v>
      </c>
      <c r="Y39" s="392">
        <f>Y34/'Proj_FinEkonAnalize '!AA88</f>
        <v>131.73531825976099</v>
      </c>
      <c r="Z39" s="392"/>
      <c r="AA39" s="392"/>
      <c r="AB39" s="381"/>
      <c r="AC39" s="381"/>
      <c r="AD39" s="381"/>
      <c r="AE39" s="381"/>
      <c r="AF39" s="381"/>
      <c r="AG39" s="381"/>
      <c r="AH39" s="381"/>
      <c r="AI39" s="381"/>
      <c r="AJ39" s="381"/>
    </row>
    <row r="40" spans="1:36" ht="12.75" thickBot="1" x14ac:dyDescent="0.25">
      <c r="B40" s="390" t="s">
        <v>196</v>
      </c>
      <c r="C40" s="381"/>
      <c r="D40" s="381"/>
      <c r="E40" s="431">
        <f>E14+E20+E32+E34</f>
        <v>-7529765.0910719996</v>
      </c>
      <c r="F40" s="391">
        <f>F14+F20+F32+F34</f>
        <v>914006.70220001461</v>
      </c>
      <c r="G40" s="391">
        <f>G14+G20+G32+G34</f>
        <v>910687.27151743881</v>
      </c>
      <c r="H40" s="391">
        <f t="shared" ref="H40:V40" si="13">H14+H20+H32+H34</f>
        <v>907398.43741230154</v>
      </c>
      <c r="I40" s="391">
        <f t="shared" si="13"/>
        <v>904238.80363503098</v>
      </c>
      <c r="J40" s="391">
        <f t="shared" si="13"/>
        <v>901219.10836393805</v>
      </c>
      <c r="K40" s="391">
        <f t="shared" si="13"/>
        <v>898325.94357979833</v>
      </c>
      <c r="L40" s="391">
        <f t="shared" si="13"/>
        <v>895458.18411406782</v>
      </c>
      <c r="M40" s="391">
        <f t="shared" si="13"/>
        <v>892614.78987137112</v>
      </c>
      <c r="N40" s="391">
        <f t="shared" si="13"/>
        <v>675441.73771498329</v>
      </c>
      <c r="O40" s="391">
        <f t="shared" si="13"/>
        <v>900929.49161716527</v>
      </c>
      <c r="P40" s="391">
        <f t="shared" si="13"/>
        <v>898465.23922048276</v>
      </c>
      <c r="Q40" s="391">
        <f t="shared" si="13"/>
        <v>895921.86683838279</v>
      </c>
      <c r="R40" s="391">
        <f t="shared" si="13"/>
        <v>894927.19740498043</v>
      </c>
      <c r="S40" s="391">
        <f t="shared" si="13"/>
        <v>894013.87716893852</v>
      </c>
      <c r="T40" s="391">
        <f t="shared" si="13"/>
        <v>893193.83333694562</v>
      </c>
      <c r="U40" s="391">
        <f>U14+U20+U32+U34</f>
        <v>892355.97171443002</v>
      </c>
      <c r="V40" s="391">
        <f t="shared" si="13"/>
        <v>891400.78498634696</v>
      </c>
      <c r="W40" s="391">
        <f t="shared" ref="W40:Y40" si="14">W14+W20+W32+W34</f>
        <v>890528.81581919501</v>
      </c>
      <c r="X40" s="391">
        <f t="shared" si="14"/>
        <v>312873.76693610102</v>
      </c>
      <c r="Y40" s="391">
        <f t="shared" si="14"/>
        <v>700790.94789614505</v>
      </c>
      <c r="Z40" s="392"/>
      <c r="AA40" s="391">
        <f>SUM(E40:X40)</f>
        <v>8734236.7323799133</v>
      </c>
      <c r="AC40" s="381"/>
      <c r="AD40" s="381"/>
      <c r="AE40" s="381"/>
      <c r="AF40" s="381"/>
      <c r="AG40" s="381"/>
      <c r="AH40" s="381"/>
      <c r="AI40" s="381"/>
      <c r="AJ40" s="381"/>
    </row>
    <row r="41" spans="1:36" ht="12.75" thickBot="1" x14ac:dyDescent="0.25">
      <c r="B41" s="387"/>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432">
        <f>SUM(F40:Y40)</f>
        <v>16964792.771348059</v>
      </c>
      <c r="AB41" s="433">
        <f>AA41/(AA36+AA35)</f>
        <v>0.32147059112447973</v>
      </c>
      <c r="AC41" s="381"/>
      <c r="AD41" s="381"/>
      <c r="AE41" s="381"/>
      <c r="AF41" s="381"/>
      <c r="AG41" s="381"/>
      <c r="AH41" s="381"/>
      <c r="AI41" s="381"/>
      <c r="AJ41" s="381"/>
    </row>
    <row r="42" spans="1:36" x14ac:dyDescent="0.2">
      <c r="B42" s="403" t="s">
        <v>198</v>
      </c>
      <c r="C42" s="381"/>
      <c r="D42" s="381"/>
      <c r="E42" s="467">
        <f>IRR(E40:Y40,0.1)</f>
        <v>9.8476044511867533E-2</v>
      </c>
      <c r="F42" s="498">
        <v>0.25303650386871424</v>
      </c>
      <c r="G42" s="381"/>
      <c r="H42" s="381"/>
      <c r="I42" s="381"/>
      <c r="J42" s="381"/>
      <c r="K42" s="381"/>
      <c r="L42" s="381"/>
      <c r="M42" s="381"/>
      <c r="N42" s="381"/>
      <c r="O42" s="381"/>
      <c r="P42" s="381"/>
      <c r="Q42" s="381"/>
      <c r="R42" s="381"/>
      <c r="S42" s="381"/>
      <c r="T42" s="381"/>
      <c r="U42" s="381"/>
      <c r="V42" s="381"/>
      <c r="W42" s="381"/>
      <c r="X42" s="381"/>
      <c r="Y42" s="381"/>
      <c r="Z42" s="381"/>
      <c r="AA42" s="392"/>
      <c r="AB42" s="381"/>
      <c r="AC42" s="381"/>
      <c r="AD42" s="381"/>
      <c r="AE42" s="381"/>
      <c r="AF42" s="381"/>
      <c r="AG42" s="381"/>
      <c r="AH42" s="381"/>
      <c r="AI42" s="381"/>
      <c r="AJ42" s="381"/>
    </row>
    <row r="43" spans="1:36" x14ac:dyDescent="0.2">
      <c r="B43" s="387"/>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92"/>
      <c r="AB43" s="381"/>
      <c r="AC43" s="381"/>
      <c r="AD43" s="381"/>
      <c r="AE43" s="381"/>
      <c r="AF43" s="381"/>
      <c r="AG43" s="381"/>
      <c r="AH43" s="381"/>
      <c r="AI43" s="381"/>
      <c r="AJ43" s="381"/>
    </row>
    <row r="44" spans="1:36" x14ac:dyDescent="0.2">
      <c r="B44" s="404" t="s">
        <v>158</v>
      </c>
      <c r="C44" s="405"/>
      <c r="D44" s="405"/>
      <c r="E44" s="406">
        <f t="shared" ref="E44:J44" si="15">IFERROR(1/((1+$E$6+E11)^E10),"-")</f>
        <v>1</v>
      </c>
      <c r="F44" s="406">
        <f t="shared" si="15"/>
        <v>0.94339622641509424</v>
      </c>
      <c r="G44" s="406">
        <f t="shared" si="15"/>
        <v>0.88999644001423983</v>
      </c>
      <c r="H44" s="406">
        <f t="shared" si="15"/>
        <v>0.8396192830323016</v>
      </c>
      <c r="I44" s="406">
        <f t="shared" si="15"/>
        <v>0.79209366323802044</v>
      </c>
      <c r="J44" s="406">
        <f t="shared" si="15"/>
        <v>0.74725817286605689</v>
      </c>
      <c r="K44" s="406">
        <f t="shared" ref="K44:S44" si="16">IFERROR(1/((1+$E$6+K11)^K10),"-")</f>
        <v>0.70496054043967626</v>
      </c>
      <c r="L44" s="406">
        <f t="shared" si="16"/>
        <v>0.66505711362233599</v>
      </c>
      <c r="M44" s="406">
        <f t="shared" si="16"/>
        <v>0.62741237134182648</v>
      </c>
      <c r="N44" s="406">
        <f t="shared" si="16"/>
        <v>0.59189846353002495</v>
      </c>
      <c r="O44" s="406">
        <f t="shared" si="16"/>
        <v>0.55839477691511785</v>
      </c>
      <c r="P44" s="406">
        <f t="shared" si="16"/>
        <v>0.52678752539162055</v>
      </c>
      <c r="Q44" s="406">
        <f t="shared" si="16"/>
        <v>0.4969693635770005</v>
      </c>
      <c r="R44" s="406">
        <f t="shared" si="16"/>
        <v>0.46883902224245327</v>
      </c>
      <c r="S44" s="406">
        <f t="shared" si="16"/>
        <v>0.44230096437967292</v>
      </c>
      <c r="T44" s="406">
        <f t="shared" ref="T44:Y44" si="17">IFERROR(1/((1+$E$6+T11)^T10),"-")</f>
        <v>0.41726506073554037</v>
      </c>
      <c r="U44" s="406">
        <f t="shared" si="17"/>
        <v>0.39364628371277405</v>
      </c>
      <c r="V44" s="406">
        <f t="shared" si="17"/>
        <v>0.37136441859695657</v>
      </c>
      <c r="W44" s="406">
        <f t="shared" si="17"/>
        <v>0.35034379112920433</v>
      </c>
      <c r="X44" s="406">
        <f t="shared" si="17"/>
        <v>0.3305130104992493</v>
      </c>
      <c r="Y44" s="406">
        <f t="shared" si="17"/>
        <v>0.31180472688608429</v>
      </c>
      <c r="Z44" s="381"/>
      <c r="AA44" s="392"/>
      <c r="AB44" s="381"/>
      <c r="AC44" s="381"/>
      <c r="AD44" s="381"/>
      <c r="AE44" s="381"/>
      <c r="AF44" s="381"/>
      <c r="AG44" s="381"/>
      <c r="AH44" s="381"/>
      <c r="AI44" s="381"/>
      <c r="AJ44" s="381"/>
    </row>
    <row r="45" spans="1:36" x14ac:dyDescent="0.2">
      <c r="B45" s="404" t="s">
        <v>159</v>
      </c>
      <c r="C45" s="405"/>
      <c r="D45" s="405"/>
      <c r="E45" s="391">
        <f>IFERROR(E40*E44,"-")</f>
        <v>-7529765.0910719996</v>
      </c>
      <c r="F45" s="391">
        <f t="shared" ref="F45:J45" si="18">IFERROR(F40*F44,"-")</f>
        <v>862270.47377359855</v>
      </c>
      <c r="G45" s="391">
        <f t="shared" si="18"/>
        <v>810508.42961680202</v>
      </c>
      <c r="H45" s="391">
        <f t="shared" si="18"/>
        <v>761869.22544474737</v>
      </c>
      <c r="I45" s="391">
        <f t="shared" si="18"/>
        <v>716241.82641323667</v>
      </c>
      <c r="J45" s="391">
        <f t="shared" si="18"/>
        <v>673443.34426801326</v>
      </c>
      <c r="K45" s="391">
        <f t="shared" ref="K45:S45" si="19">IFERROR(K40*K44,"-")</f>
        <v>633284.34267699672</v>
      </c>
      <c r="L45" s="391">
        <f t="shared" si="19"/>
        <v>595530.83529640024</v>
      </c>
      <c r="M45" s="391">
        <f t="shared" si="19"/>
        <v>560037.5620079831</v>
      </c>
      <c r="N45" s="391">
        <f t="shared" si="19"/>
        <v>399792.9267575487</v>
      </c>
      <c r="O45" s="391">
        <f t="shared" si="19"/>
        <v>503074.32248781755</v>
      </c>
      <c r="P45" s="391">
        <f t="shared" si="19"/>
        <v>473300.28001934849</v>
      </c>
      <c r="Q45" s="391">
        <f t="shared" si="19"/>
        <v>445245.71997738926</v>
      </c>
      <c r="R45" s="391">
        <f t="shared" si="19"/>
        <v>419576.79220953002</v>
      </c>
      <c r="S45" s="391">
        <f t="shared" si="19"/>
        <v>395423.20004063199</v>
      </c>
      <c r="T45" s="391">
        <f t="shared" ref="T45:Y45" si="20">IFERROR(T40*T44,"-")</f>
        <v>372698.57911595074</v>
      </c>
      <c r="U45" s="391">
        <f t="shared" si="20"/>
        <v>351272.61201428669</v>
      </c>
      <c r="V45" s="391">
        <f t="shared" si="20"/>
        <v>331034.53425332543</v>
      </c>
      <c r="W45" s="391">
        <f t="shared" si="20"/>
        <v>311991.24144389771</v>
      </c>
      <c r="X45" s="391">
        <f t="shared" si="20"/>
        <v>103408.85061629124</v>
      </c>
      <c r="Y45" s="391">
        <f t="shared" si="20"/>
        <v>218509.93011299762</v>
      </c>
      <c r="Z45" s="392"/>
      <c r="AA45" s="391">
        <f t="shared" si="2"/>
        <v>2190240.0073617962</v>
      </c>
      <c r="AB45" s="381"/>
      <c r="AC45" s="381"/>
      <c r="AD45" s="381"/>
      <c r="AE45" s="381"/>
      <c r="AF45" s="381"/>
      <c r="AG45" s="381"/>
      <c r="AH45" s="381"/>
      <c r="AI45" s="381"/>
      <c r="AJ45" s="381"/>
    </row>
    <row r="46" spans="1:36" x14ac:dyDescent="0.2">
      <c r="B46" s="387"/>
      <c r="C46" s="381"/>
      <c r="D46" s="381"/>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81"/>
      <c r="AC46" s="381"/>
      <c r="AD46" s="381"/>
      <c r="AE46" s="381"/>
      <c r="AF46" s="381"/>
      <c r="AG46" s="381"/>
      <c r="AH46" s="381"/>
      <c r="AI46" s="381"/>
      <c r="AJ46" s="381"/>
    </row>
    <row r="47" spans="1:36" x14ac:dyDescent="0.2">
      <c r="B47" s="403" t="s">
        <v>176</v>
      </c>
      <c r="C47" s="381"/>
      <c r="D47" s="381"/>
      <c r="E47" s="408">
        <f>SUM(E45:X45)</f>
        <v>2190240.0073617962</v>
      </c>
      <c r="F47" s="392"/>
      <c r="G47" s="392"/>
      <c r="H47" s="392"/>
      <c r="I47" s="392"/>
      <c r="J47" s="392"/>
      <c r="K47" s="392"/>
      <c r="L47" s="392"/>
      <c r="M47" s="392"/>
      <c r="N47" s="392"/>
      <c r="O47" s="392"/>
      <c r="P47" s="392"/>
      <c r="Q47" s="392"/>
      <c r="R47" s="392"/>
      <c r="S47" s="392"/>
      <c r="T47" s="392"/>
      <c r="U47" s="392"/>
      <c r="V47" s="392"/>
      <c r="W47" s="392"/>
      <c r="X47" s="392"/>
      <c r="Y47" s="392"/>
      <c r="Z47" s="392"/>
      <c r="AA47" s="392"/>
      <c r="AB47" s="381"/>
      <c r="AC47" s="381"/>
      <c r="AD47" s="381"/>
      <c r="AE47" s="381"/>
      <c r="AF47" s="381"/>
      <c r="AG47" s="381"/>
      <c r="AH47" s="381"/>
      <c r="AI47" s="381"/>
      <c r="AJ47" s="381"/>
    </row>
    <row r="48" spans="1:36" s="439" customFormat="1" ht="5.25" x14ac:dyDescent="0.15">
      <c r="A48" s="434"/>
      <c r="B48" s="435"/>
      <c r="C48" s="436"/>
      <c r="D48" s="436"/>
      <c r="E48" s="437"/>
      <c r="F48" s="438"/>
      <c r="G48" s="438"/>
      <c r="H48" s="438"/>
      <c r="I48" s="438"/>
      <c r="J48" s="438"/>
      <c r="K48" s="438"/>
      <c r="L48" s="438"/>
      <c r="M48" s="438"/>
      <c r="N48" s="438"/>
      <c r="O48" s="438"/>
      <c r="P48" s="438"/>
      <c r="Q48" s="438"/>
      <c r="R48" s="438"/>
      <c r="S48" s="438"/>
      <c r="T48" s="438"/>
      <c r="U48" s="438"/>
      <c r="V48" s="438"/>
      <c r="W48" s="438"/>
      <c r="X48" s="438"/>
      <c r="Y48" s="438"/>
      <c r="Z48" s="438"/>
      <c r="AA48" s="438"/>
      <c r="AB48" s="436"/>
      <c r="AC48" s="436"/>
      <c r="AD48" s="436"/>
      <c r="AE48" s="436"/>
      <c r="AF48" s="436"/>
      <c r="AG48" s="436"/>
      <c r="AH48" s="436"/>
      <c r="AI48" s="436"/>
      <c r="AJ48" s="436"/>
    </row>
    <row r="49" spans="1:36" x14ac:dyDescent="0.2">
      <c r="B49" s="440"/>
      <c r="C49" s="441"/>
      <c r="D49" s="441"/>
      <c r="E49" s="442"/>
      <c r="F49" s="443"/>
      <c r="G49" s="443"/>
      <c r="H49" s="443"/>
      <c r="I49" s="443"/>
      <c r="J49" s="443"/>
      <c r="K49" s="443"/>
      <c r="L49" s="443"/>
      <c r="M49" s="443"/>
      <c r="N49" s="443"/>
      <c r="O49" s="443"/>
      <c r="P49" s="443"/>
      <c r="Q49" s="443"/>
      <c r="R49" s="443"/>
      <c r="S49" s="443"/>
      <c r="T49" s="443"/>
      <c r="U49" s="443"/>
      <c r="V49" s="443"/>
      <c r="W49" s="443"/>
      <c r="X49" s="443"/>
      <c r="Y49" s="443"/>
      <c r="Z49" s="392"/>
      <c r="AA49" s="392"/>
      <c r="AB49" s="381"/>
      <c r="AC49" s="381"/>
      <c r="AD49" s="381"/>
      <c r="AE49" s="381"/>
      <c r="AF49" s="381"/>
      <c r="AG49" s="381"/>
      <c r="AH49" s="381"/>
      <c r="AI49" s="381"/>
      <c r="AJ49" s="381"/>
    </row>
    <row r="50" spans="1:36" s="439" customFormat="1" ht="5.25" x14ac:dyDescent="0.15">
      <c r="A50" s="434"/>
      <c r="B50" s="435"/>
      <c r="C50" s="436"/>
      <c r="D50" s="436"/>
      <c r="E50" s="437"/>
      <c r="F50" s="438"/>
      <c r="G50" s="438"/>
      <c r="H50" s="438"/>
      <c r="I50" s="438"/>
      <c r="J50" s="438"/>
      <c r="K50" s="438"/>
      <c r="L50" s="438"/>
      <c r="M50" s="438"/>
      <c r="N50" s="438"/>
      <c r="O50" s="438"/>
      <c r="P50" s="438"/>
      <c r="Q50" s="438"/>
      <c r="R50" s="438"/>
      <c r="S50" s="438"/>
      <c r="T50" s="438"/>
      <c r="U50" s="438"/>
      <c r="V50" s="438"/>
      <c r="W50" s="438"/>
      <c r="X50" s="438"/>
      <c r="Y50" s="438"/>
      <c r="Z50" s="438"/>
      <c r="AA50" s="438"/>
      <c r="AB50" s="436"/>
      <c r="AC50" s="436"/>
      <c r="AD50" s="436"/>
      <c r="AE50" s="436"/>
      <c r="AF50" s="436"/>
      <c r="AG50" s="436"/>
      <c r="AH50" s="436"/>
      <c r="AI50" s="436"/>
      <c r="AJ50" s="436"/>
    </row>
    <row r="51" spans="1:36" x14ac:dyDescent="0.2">
      <c r="B51" s="451" t="s">
        <v>148</v>
      </c>
      <c r="C51" s="381"/>
      <c r="D51" s="381"/>
      <c r="E51" s="444"/>
      <c r="F51" s="392"/>
      <c r="G51" s="392"/>
      <c r="H51" s="392"/>
      <c r="I51" s="392"/>
      <c r="J51" s="392"/>
      <c r="K51" s="392"/>
      <c r="L51" s="392"/>
      <c r="M51" s="392"/>
      <c r="N51" s="392"/>
      <c r="O51" s="392"/>
      <c r="P51" s="392"/>
      <c r="Q51" s="392"/>
      <c r="R51" s="392"/>
      <c r="S51" s="392"/>
      <c r="T51" s="392"/>
      <c r="U51" s="392"/>
      <c r="V51" s="392"/>
      <c r="W51" s="392"/>
      <c r="X51" s="392"/>
      <c r="Y51" s="392"/>
      <c r="Z51" s="392"/>
      <c r="AA51" s="392"/>
      <c r="AB51" s="381"/>
      <c r="AC51" s="381"/>
      <c r="AD51" s="381"/>
      <c r="AE51" s="381"/>
      <c r="AF51" s="381"/>
      <c r="AG51" s="381"/>
      <c r="AH51" s="381"/>
      <c r="AI51" s="381"/>
      <c r="AJ51" s="381"/>
    </row>
    <row r="52" spans="1:36" x14ac:dyDescent="0.2">
      <c r="B52" s="445" t="s">
        <v>345</v>
      </c>
      <c r="C52" s="381"/>
      <c r="D52" s="389" t="s">
        <v>161</v>
      </c>
      <c r="E52" s="394">
        <f t="shared" ref="E52:Y52" si="21">-(E36+E35)</f>
        <v>0</v>
      </c>
      <c r="F52" s="394">
        <f t="shared" si="21"/>
        <v>-2831696.2377672121</v>
      </c>
      <c r="G52" s="394">
        <f t="shared" si="21"/>
        <v>-2819923.8575325808</v>
      </c>
      <c r="H52" s="394">
        <f t="shared" si="21"/>
        <v>-2808791.6536535788</v>
      </c>
      <c r="I52" s="394">
        <f t="shared" si="21"/>
        <v>-2798292.5746108224</v>
      </c>
      <c r="J52" s="394">
        <f t="shared" si="21"/>
        <v>-2788479.6556760203</v>
      </c>
      <c r="K52" s="394">
        <f t="shared" si="21"/>
        <v>-2779286.3572321134</v>
      </c>
      <c r="L52" s="394">
        <f t="shared" si="21"/>
        <v>-2770706.9613203234</v>
      </c>
      <c r="M52" s="394">
        <f t="shared" si="21"/>
        <v>-2762736.1681954698</v>
      </c>
      <c r="N52" s="394">
        <f t="shared" si="21"/>
        <v>-2769036.0508713368</v>
      </c>
      <c r="O52" s="394">
        <f t="shared" si="21"/>
        <v>-2762325.6572519229</v>
      </c>
      <c r="P52" s="394">
        <f t="shared" si="21"/>
        <v>-2756209.6863248404</v>
      </c>
      <c r="Q52" s="394">
        <f t="shared" si="21"/>
        <v>-2750684.4306646246</v>
      </c>
      <c r="R52" s="394">
        <f t="shared" si="21"/>
        <v>-2752820.3024241165</v>
      </c>
      <c r="S52" s="394">
        <f t="shared" si="21"/>
        <v>-2755350.7983461046</v>
      </c>
      <c r="T52" s="394">
        <f t="shared" si="21"/>
        <v>-2758334.8093891698</v>
      </c>
      <c r="U52" s="394">
        <f t="shared" si="21"/>
        <v>-2761717.2209330997</v>
      </c>
      <c r="V52" s="394">
        <f t="shared" si="21"/>
        <v>-2765500.2928732699</v>
      </c>
      <c r="W52" s="394">
        <f t="shared" si="21"/>
        <v>-2769686.5288361199</v>
      </c>
      <c r="X52" s="394">
        <f t="shared" si="21"/>
        <v>-2810877.2100655893</v>
      </c>
      <c r="Y52" s="394">
        <f t="shared" si="21"/>
        <v>-2591233.7101694983</v>
      </c>
      <c r="Z52" s="392"/>
      <c r="AA52" s="391">
        <f t="shared" si="2"/>
        <v>-52772456.453968316</v>
      </c>
      <c r="AB52" s="381"/>
      <c r="AC52" s="381"/>
      <c r="AD52" s="381"/>
      <c r="AE52" s="381"/>
      <c r="AF52" s="381"/>
      <c r="AG52" s="381"/>
      <c r="AH52" s="381"/>
      <c r="AI52" s="381"/>
      <c r="AJ52" s="381"/>
    </row>
    <row r="53" spans="1:36" x14ac:dyDescent="0.2">
      <c r="B53" s="446" t="s">
        <v>192</v>
      </c>
      <c r="C53" s="381"/>
      <c r="D53" s="389" t="s">
        <v>162</v>
      </c>
      <c r="E53" s="447">
        <f>E32</f>
        <v>0</v>
      </c>
      <c r="F53" s="447">
        <f t="shared" ref="F53:J53" si="22">F32</f>
        <v>0</v>
      </c>
      <c r="G53" s="447">
        <f t="shared" si="22"/>
        <v>0</v>
      </c>
      <c r="H53" s="447">
        <f t="shared" si="22"/>
        <v>0</v>
      </c>
      <c r="I53" s="447">
        <f t="shared" si="22"/>
        <v>0</v>
      </c>
      <c r="J53" s="447">
        <f t="shared" si="22"/>
        <v>0</v>
      </c>
      <c r="K53" s="447">
        <f t="shared" ref="K53:X53" si="23">K32</f>
        <v>0</v>
      </c>
      <c r="L53" s="447">
        <f t="shared" si="23"/>
        <v>0</v>
      </c>
      <c r="M53" s="447">
        <f t="shared" si="23"/>
        <v>0</v>
      </c>
      <c r="N53" s="447">
        <f t="shared" si="23"/>
        <v>0</v>
      </c>
      <c r="O53" s="447">
        <f t="shared" si="23"/>
        <v>0</v>
      </c>
      <c r="P53" s="447">
        <f t="shared" si="23"/>
        <v>0</v>
      </c>
      <c r="Q53" s="447">
        <f t="shared" si="23"/>
        <v>0</v>
      </c>
      <c r="R53" s="447">
        <f t="shared" si="23"/>
        <v>0</v>
      </c>
      <c r="S53" s="447">
        <f t="shared" si="23"/>
        <v>0</v>
      </c>
      <c r="T53" s="447">
        <f t="shared" si="23"/>
        <v>0</v>
      </c>
      <c r="U53" s="447">
        <f t="shared" si="23"/>
        <v>0</v>
      </c>
      <c r="V53" s="447">
        <f t="shared" si="23"/>
        <v>0</v>
      </c>
      <c r="W53" s="447">
        <f t="shared" si="23"/>
        <v>0</v>
      </c>
      <c r="X53" s="447">
        <f t="shared" si="23"/>
        <v>0</v>
      </c>
      <c r="Y53" s="447">
        <f t="shared" ref="Y53" si="24">Y32</f>
        <v>0</v>
      </c>
      <c r="Z53" s="392"/>
      <c r="AA53" s="391">
        <f t="shared" si="2"/>
        <v>0</v>
      </c>
      <c r="AB53" s="381"/>
      <c r="AC53" s="381"/>
      <c r="AD53" s="381"/>
      <c r="AE53" s="381"/>
      <c r="AF53" s="381"/>
      <c r="AG53" s="381"/>
      <c r="AH53" s="381"/>
      <c r="AI53" s="381"/>
      <c r="AJ53" s="381"/>
    </row>
    <row r="54" spans="1:36" x14ac:dyDescent="0.2">
      <c r="B54" s="404" t="s">
        <v>194</v>
      </c>
      <c r="C54" s="381"/>
      <c r="D54" s="381"/>
      <c r="E54" s="447">
        <f>IFERROR((E52+E53)*E44,"-")</f>
        <v>0</v>
      </c>
      <c r="F54" s="447">
        <f>IFERROR((F52+F53)*F44,"-")</f>
        <v>-2671411.5450634072</v>
      </c>
      <c r="G54" s="447">
        <f t="shared" ref="G54:J54" si="25">IFERROR((G52+G53)*G44,"-")</f>
        <v>-2509722.1943152193</v>
      </c>
      <c r="H54" s="447">
        <f t="shared" si="25"/>
        <v>-2358315.6344277305</v>
      </c>
      <c r="I54" s="447">
        <f t="shared" si="25"/>
        <v>-2216509.8162352378</v>
      </c>
      <c r="J54" s="447">
        <f t="shared" si="25"/>
        <v>-2083714.2125746345</v>
      </c>
      <c r="K54" s="447">
        <f t="shared" ref="K54:X54" si="26">IFERROR((K52+K53)*K44,"-")</f>
        <v>-1959287.2124309698</v>
      </c>
      <c r="L54" s="447">
        <f t="shared" si="26"/>
        <v>-1842678.3743890077</v>
      </c>
      <c r="M54" s="447">
        <f t="shared" si="26"/>
        <v>-1733374.8506793508</v>
      </c>
      <c r="N54" s="447">
        <f t="shared" si="26"/>
        <v>-1638988.1839699922</v>
      </c>
      <c r="O54" s="447">
        <f t="shared" si="26"/>
        <v>-1542468.2191480938</v>
      </c>
      <c r="P54" s="447">
        <f t="shared" si="26"/>
        <v>-1451936.8801194774</v>
      </c>
      <c r="Q54" s="447">
        <f t="shared" si="26"/>
        <v>-1367005.8909085623</v>
      </c>
      <c r="R54" s="447">
        <f t="shared" si="26"/>
        <v>-1290629.5789976972</v>
      </c>
      <c r="S54" s="447">
        <f t="shared" si="26"/>
        <v>-1218694.3153127837</v>
      </c>
      <c r="T54" s="447">
        <f t="shared" si="26"/>
        <v>-1150956.7417687271</v>
      </c>
      <c r="U54" s="447">
        <f t="shared" si="26"/>
        <v>-1087139.7206858848</v>
      </c>
      <c r="V54" s="447">
        <f t="shared" si="26"/>
        <v>-1027008.408392595</v>
      </c>
      <c r="W54" s="447">
        <f t="shared" si="26"/>
        <v>-970342.4787519325</v>
      </c>
      <c r="X54" s="447">
        <f t="shared" si="26"/>
        <v>-929031.48884250876</v>
      </c>
      <c r="Y54" s="447">
        <f t="shared" ref="Y54" si="27">IFERROR((Y52+Y53)*Y44,"-")</f>
        <v>-807958.9192974153</v>
      </c>
      <c r="Z54" s="392"/>
      <c r="AA54" s="391">
        <f t="shared" si="2"/>
        <v>-31049215.747013811</v>
      </c>
      <c r="AB54" s="381"/>
      <c r="AC54" s="381"/>
      <c r="AD54" s="381"/>
      <c r="AE54" s="381"/>
      <c r="AF54" s="381"/>
      <c r="AG54" s="381"/>
      <c r="AH54" s="381"/>
      <c r="AI54" s="381"/>
      <c r="AJ54" s="381"/>
    </row>
    <row r="55" spans="1:36" x14ac:dyDescent="0.2">
      <c r="B55" s="388"/>
      <c r="C55" s="381"/>
      <c r="D55" s="381"/>
      <c r="E55" s="444"/>
      <c r="F55" s="392"/>
      <c r="G55" s="392"/>
      <c r="H55" s="392"/>
      <c r="I55" s="392"/>
      <c r="J55" s="392"/>
      <c r="K55" s="392"/>
      <c r="L55" s="392"/>
      <c r="M55" s="392"/>
      <c r="N55" s="392"/>
      <c r="O55" s="392"/>
      <c r="P55" s="392"/>
      <c r="Q55" s="392"/>
      <c r="R55" s="392"/>
      <c r="S55" s="392"/>
      <c r="T55" s="392"/>
      <c r="U55" s="392"/>
      <c r="V55" s="392"/>
      <c r="W55" s="392"/>
      <c r="X55" s="392"/>
      <c r="Y55" s="392"/>
      <c r="Z55" s="392"/>
      <c r="AA55" s="392"/>
      <c r="AB55" s="381"/>
      <c r="AC55" s="381"/>
      <c r="AD55" s="381"/>
      <c r="AE55" s="381"/>
      <c r="AF55" s="381"/>
      <c r="AG55" s="381"/>
      <c r="AH55" s="381"/>
      <c r="AI55" s="381"/>
      <c r="AJ55" s="381"/>
    </row>
    <row r="56" spans="1:36" x14ac:dyDescent="0.2">
      <c r="B56" s="403" t="s">
        <v>163</v>
      </c>
      <c r="C56" s="381"/>
      <c r="D56" s="381"/>
      <c r="E56" s="408">
        <f>SUM(E54:X54)</f>
        <v>-31049215.747013811</v>
      </c>
      <c r="F56" s="409" t="s">
        <v>216</v>
      </c>
      <c r="G56" s="392"/>
      <c r="H56" s="392"/>
      <c r="I56" s="392"/>
      <c r="J56" s="392"/>
      <c r="K56" s="392"/>
      <c r="L56" s="392"/>
      <c r="M56" s="392"/>
      <c r="N56" s="392"/>
      <c r="O56" s="392"/>
      <c r="P56" s="392"/>
      <c r="Q56" s="392"/>
      <c r="R56" s="392"/>
      <c r="S56" s="392"/>
      <c r="T56" s="392"/>
      <c r="U56" s="392"/>
      <c r="V56" s="392"/>
      <c r="W56" s="392"/>
      <c r="X56" s="392"/>
      <c r="Y56" s="392"/>
      <c r="Z56" s="392"/>
      <c r="AA56" s="392"/>
      <c r="AB56" s="381"/>
      <c r="AC56" s="381"/>
      <c r="AD56" s="381"/>
      <c r="AE56" s="381"/>
      <c r="AF56" s="381"/>
      <c r="AG56" s="381"/>
      <c r="AH56" s="381"/>
      <c r="AI56" s="381"/>
      <c r="AJ56" s="381"/>
    </row>
    <row r="57" spans="1:36" x14ac:dyDescent="0.2">
      <c r="B57" s="388"/>
      <c r="C57" s="381"/>
      <c r="D57" s="381"/>
      <c r="E57" s="444"/>
      <c r="F57" s="392"/>
      <c r="G57" s="392"/>
      <c r="H57" s="392"/>
      <c r="I57" s="392"/>
      <c r="J57" s="392"/>
      <c r="K57" s="392"/>
      <c r="L57" s="392"/>
      <c r="M57" s="392"/>
      <c r="N57" s="392"/>
      <c r="O57" s="392"/>
      <c r="P57" s="392"/>
      <c r="Q57" s="392"/>
      <c r="R57" s="392"/>
      <c r="S57" s="392"/>
      <c r="T57" s="392"/>
      <c r="U57" s="392"/>
      <c r="V57" s="392"/>
      <c r="W57" s="392"/>
      <c r="X57" s="392"/>
      <c r="Y57" s="392"/>
      <c r="Z57" s="392"/>
      <c r="AA57" s="392"/>
      <c r="AB57" s="381"/>
      <c r="AC57" s="381"/>
      <c r="AD57" s="381"/>
      <c r="AE57" s="381"/>
      <c r="AF57" s="381"/>
      <c r="AG57" s="381"/>
      <c r="AH57" s="381"/>
      <c r="AI57" s="381"/>
      <c r="AJ57" s="381"/>
    </row>
    <row r="58" spans="1:36" x14ac:dyDescent="0.2">
      <c r="B58" s="390" t="s">
        <v>343</v>
      </c>
      <c r="C58" s="381"/>
      <c r="D58" s="381"/>
      <c r="E58" s="391">
        <f>SUM(E59:E61)</f>
        <v>0</v>
      </c>
      <c r="F58" s="391">
        <f>SUM(F59:F61)</f>
        <v>-14800</v>
      </c>
      <c r="G58" s="391">
        <f t="shared" ref="G58:X58" si="28">SUM(G59:G61)</f>
        <v>-15200</v>
      </c>
      <c r="H58" s="391">
        <f t="shared" si="28"/>
        <v>-15600</v>
      </c>
      <c r="I58" s="391">
        <f t="shared" si="28"/>
        <v>-16000</v>
      </c>
      <c r="J58" s="391">
        <f t="shared" si="28"/>
        <v>-16400</v>
      </c>
      <c r="K58" s="391">
        <f t="shared" si="28"/>
        <v>-16800</v>
      </c>
      <c r="L58" s="391">
        <f t="shared" si="28"/>
        <v>-17200</v>
      </c>
      <c r="M58" s="391">
        <f t="shared" si="28"/>
        <v>-17600</v>
      </c>
      <c r="N58" s="391">
        <f t="shared" si="28"/>
        <v>-18000</v>
      </c>
      <c r="O58" s="391">
        <f t="shared" si="28"/>
        <v>-18400</v>
      </c>
      <c r="P58" s="391">
        <f t="shared" si="28"/>
        <v>-18800</v>
      </c>
      <c r="Q58" s="391">
        <f t="shared" si="28"/>
        <v>-19200</v>
      </c>
      <c r="R58" s="391">
        <f t="shared" si="28"/>
        <v>-19600</v>
      </c>
      <c r="S58" s="391">
        <f t="shared" si="28"/>
        <v>-20000</v>
      </c>
      <c r="T58" s="391">
        <f t="shared" si="28"/>
        <v>-20400</v>
      </c>
      <c r="U58" s="391">
        <f t="shared" si="28"/>
        <v>-20800</v>
      </c>
      <c r="V58" s="391">
        <f t="shared" si="28"/>
        <v>-21200</v>
      </c>
      <c r="W58" s="391">
        <f t="shared" si="28"/>
        <v>-21600</v>
      </c>
      <c r="X58" s="391">
        <f t="shared" si="28"/>
        <v>-22000</v>
      </c>
      <c r="Y58" s="391">
        <f t="shared" ref="Y58" si="29">SUM(Y59:Y61)</f>
        <v>-22400</v>
      </c>
      <c r="Z58" s="392"/>
      <c r="AA58" s="391">
        <f t="shared" si="2"/>
        <v>-349600</v>
      </c>
      <c r="AB58" s="381"/>
      <c r="AC58" s="381"/>
      <c r="AD58" s="381"/>
      <c r="AE58" s="381"/>
      <c r="AF58" s="381"/>
      <c r="AG58" s="381"/>
      <c r="AH58" s="381"/>
      <c r="AI58" s="381"/>
      <c r="AJ58" s="381"/>
    </row>
    <row r="59" spans="1:36" s="378" customFormat="1" x14ac:dyDescent="0.2">
      <c r="A59" s="410"/>
      <c r="B59" s="411" t="s">
        <v>351</v>
      </c>
      <c r="C59" s="412"/>
      <c r="D59" s="413" t="s">
        <v>161</v>
      </c>
      <c r="E59" s="397"/>
      <c r="F59" s="397">
        <f>-ROUND(3000*0.2*12*(1+'Proj_FinEkonAnalize '!H5),-2)</f>
        <v>-7400</v>
      </c>
      <c r="G59" s="397">
        <f>ROUND(F59*(1+'Proj_FinEkonAnalize '!I5),-2)</f>
        <v>-7600</v>
      </c>
      <c r="H59" s="397">
        <f>ROUND(G59*(1+'Proj_FinEkonAnalize '!J5),-2)</f>
        <v>-7800</v>
      </c>
      <c r="I59" s="397">
        <f>ROUND(H59*(1+'Proj_FinEkonAnalize '!K5),-2)</f>
        <v>-8000</v>
      </c>
      <c r="J59" s="397">
        <f>ROUND(I59*(1+'Proj_FinEkonAnalize '!L5),-2)</f>
        <v>-8200</v>
      </c>
      <c r="K59" s="397">
        <f>ROUND(J59*(1+'Proj_FinEkonAnalize '!M5),-2)</f>
        <v>-8400</v>
      </c>
      <c r="L59" s="397">
        <f>ROUND(K59*(1+'Proj_FinEkonAnalize '!N5),-2)</f>
        <v>-8600</v>
      </c>
      <c r="M59" s="397">
        <f>ROUND(L59*(1+'Proj_FinEkonAnalize '!O5),-2)</f>
        <v>-8800</v>
      </c>
      <c r="N59" s="397">
        <f>ROUND(M59*(1+'Proj_FinEkonAnalize '!P5),-2)</f>
        <v>-9000</v>
      </c>
      <c r="O59" s="397">
        <f>ROUND(N59*(1+'Proj_FinEkonAnalize '!Q5),-2)</f>
        <v>-9200</v>
      </c>
      <c r="P59" s="397">
        <f>ROUND(O59*(1+'Proj_FinEkonAnalize '!R5),-2)</f>
        <v>-9400</v>
      </c>
      <c r="Q59" s="397">
        <f>ROUND(P59*(1+'Proj_FinEkonAnalize '!S5),-2)</f>
        <v>-9600</v>
      </c>
      <c r="R59" s="397">
        <f>ROUND(Q59*(1+'Proj_FinEkonAnalize '!T5),-2)</f>
        <v>-9800</v>
      </c>
      <c r="S59" s="397">
        <f>ROUND(R59*(1+'Proj_FinEkonAnalize '!U5),-2)</f>
        <v>-10000</v>
      </c>
      <c r="T59" s="397">
        <f>ROUND(S59*(1+'Proj_FinEkonAnalize '!V5),-2)</f>
        <v>-10200</v>
      </c>
      <c r="U59" s="397">
        <f>ROUND(T59*(1+'Proj_FinEkonAnalize '!W5),-2)</f>
        <v>-10400</v>
      </c>
      <c r="V59" s="397">
        <f>ROUND(U59*(1+'Proj_FinEkonAnalize '!X5),-2)</f>
        <v>-10600</v>
      </c>
      <c r="W59" s="397">
        <f>ROUND(V59*(1+'Proj_FinEkonAnalize '!Y5),-2)</f>
        <v>-10800</v>
      </c>
      <c r="X59" s="397">
        <f>ROUND(W59*(1+'Proj_FinEkonAnalize '!Z5),-2)</f>
        <v>-11000</v>
      </c>
      <c r="Y59" s="397">
        <f>ROUND(X59*(1+'Proj_FinEkonAnalize '!AA5),-2)</f>
        <v>-11200</v>
      </c>
      <c r="Z59" s="398"/>
      <c r="AA59" s="424">
        <f>SUM(E59:X59)</f>
        <v>-174800</v>
      </c>
      <c r="AB59" s="399"/>
      <c r="AC59" s="399"/>
      <c r="AD59" s="399"/>
      <c r="AE59" s="399"/>
      <c r="AF59" s="399"/>
      <c r="AG59" s="399"/>
      <c r="AH59" s="399"/>
      <c r="AI59" s="399"/>
      <c r="AJ59" s="399"/>
    </row>
    <row r="60" spans="1:36" x14ac:dyDescent="0.2">
      <c r="B60" s="411" t="s">
        <v>352</v>
      </c>
      <c r="C60" s="405"/>
      <c r="D60" s="414" t="s">
        <v>161</v>
      </c>
      <c r="E60" s="397"/>
      <c r="F60" s="397">
        <f>-ROUND(3000*0.2*12*(1+'Proj_FinEkonAnalize '!H5),-2)</f>
        <v>-7400</v>
      </c>
      <c r="G60" s="397">
        <f>ROUND(F60*(1+'Proj_FinEkonAnalize '!I5),-2)</f>
        <v>-7600</v>
      </c>
      <c r="H60" s="397">
        <f>ROUND(G60*(1+'Proj_FinEkonAnalize '!J5),-2)</f>
        <v>-7800</v>
      </c>
      <c r="I60" s="397">
        <f>ROUND(H60*(1+'Proj_FinEkonAnalize '!K5),-2)</f>
        <v>-8000</v>
      </c>
      <c r="J60" s="397">
        <f>ROUND(I60*(1+'Proj_FinEkonAnalize '!L5),-2)</f>
        <v>-8200</v>
      </c>
      <c r="K60" s="397">
        <f>ROUND(J60*(1+'Proj_FinEkonAnalize '!M5),-2)</f>
        <v>-8400</v>
      </c>
      <c r="L60" s="397">
        <f>ROUND(K60*(1+'Proj_FinEkonAnalize '!N5),-2)</f>
        <v>-8600</v>
      </c>
      <c r="M60" s="397">
        <f>ROUND(L60*(1+'Proj_FinEkonAnalize '!O5),-2)</f>
        <v>-8800</v>
      </c>
      <c r="N60" s="397">
        <f>ROUND(M60*(1+'Proj_FinEkonAnalize '!P5),-2)</f>
        <v>-9000</v>
      </c>
      <c r="O60" s="397">
        <f>ROUND(N60*(1+'Proj_FinEkonAnalize '!Q5),-2)</f>
        <v>-9200</v>
      </c>
      <c r="P60" s="397">
        <f>ROUND(O60*(1+'Proj_FinEkonAnalize '!R5),-2)</f>
        <v>-9400</v>
      </c>
      <c r="Q60" s="397">
        <f>ROUND(P60*(1+'Proj_FinEkonAnalize '!S5),-2)</f>
        <v>-9600</v>
      </c>
      <c r="R60" s="397">
        <f>ROUND(Q60*(1+'Proj_FinEkonAnalize '!T5),-2)</f>
        <v>-9800</v>
      </c>
      <c r="S60" s="397">
        <f>ROUND(R60*(1+'Proj_FinEkonAnalize '!U5),-2)</f>
        <v>-10000</v>
      </c>
      <c r="T60" s="397">
        <f>ROUND(S60*(1+'Proj_FinEkonAnalize '!V5),-2)</f>
        <v>-10200</v>
      </c>
      <c r="U60" s="397">
        <f>ROUND(T60*(1+'Proj_FinEkonAnalize '!W5),-2)</f>
        <v>-10400</v>
      </c>
      <c r="V60" s="397">
        <f>ROUND(U60*(1+'Proj_FinEkonAnalize '!X5),-2)</f>
        <v>-10600</v>
      </c>
      <c r="W60" s="397">
        <f>ROUND(V60*(1+'Proj_FinEkonAnalize '!Y5),-2)</f>
        <v>-10800</v>
      </c>
      <c r="X60" s="397">
        <f>ROUND(W60*(1+'Proj_FinEkonAnalize '!Z5),-2)</f>
        <v>-11000</v>
      </c>
      <c r="Y60" s="397">
        <f>ROUND(X60*(1+'Proj_FinEkonAnalize '!AA5),-2)</f>
        <v>-11200</v>
      </c>
      <c r="Z60" s="392"/>
      <c r="AA60" s="424">
        <f t="shared" si="2"/>
        <v>-174800</v>
      </c>
      <c r="AB60" s="381"/>
      <c r="AC60" s="381"/>
      <c r="AD60" s="381"/>
      <c r="AE60" s="381"/>
      <c r="AF60" s="381"/>
      <c r="AG60" s="381"/>
      <c r="AH60" s="381"/>
      <c r="AI60" s="381"/>
      <c r="AJ60" s="381"/>
    </row>
    <row r="61" spans="1:36" x14ac:dyDescent="0.2">
      <c r="B61" s="411"/>
      <c r="C61" s="405"/>
      <c r="D61" s="414"/>
      <c r="E61" s="397"/>
      <c r="F61" s="397"/>
      <c r="G61" s="397"/>
      <c r="H61" s="397"/>
      <c r="I61" s="397"/>
      <c r="J61" s="397"/>
      <c r="K61" s="397"/>
      <c r="L61" s="397"/>
      <c r="M61" s="397"/>
      <c r="N61" s="397"/>
      <c r="O61" s="397"/>
      <c r="P61" s="397"/>
      <c r="Q61" s="397"/>
      <c r="R61" s="397"/>
      <c r="S61" s="397"/>
      <c r="T61" s="397"/>
      <c r="U61" s="397"/>
      <c r="V61" s="397"/>
      <c r="W61" s="397"/>
      <c r="X61" s="397"/>
      <c r="Y61" s="397"/>
      <c r="Z61" s="392"/>
      <c r="AA61" s="424"/>
      <c r="AB61" s="381"/>
      <c r="AC61" s="381"/>
      <c r="AD61" s="381"/>
      <c r="AE61" s="381"/>
      <c r="AF61" s="381"/>
      <c r="AG61" s="381"/>
      <c r="AH61" s="381"/>
      <c r="AI61" s="381"/>
      <c r="AJ61" s="381"/>
    </row>
    <row r="62" spans="1:36" x14ac:dyDescent="0.2">
      <c r="B62" s="387"/>
      <c r="C62" s="381"/>
      <c r="D62" s="381"/>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81"/>
      <c r="AC62" s="381"/>
      <c r="AD62" s="381"/>
      <c r="AE62" s="381"/>
      <c r="AF62" s="381"/>
      <c r="AG62" s="381"/>
      <c r="AH62" s="381"/>
      <c r="AI62" s="381"/>
      <c r="AJ62" s="381"/>
    </row>
    <row r="63" spans="1:36" x14ac:dyDescent="0.2">
      <c r="B63" s="415" t="s">
        <v>166</v>
      </c>
      <c r="C63" s="381"/>
      <c r="D63" s="381"/>
      <c r="E63" s="391">
        <f t="shared" ref="E63:X63" si="30">IFERROR(E58*E44,"-")</f>
        <v>0</v>
      </c>
      <c r="F63" s="391">
        <f t="shared" si="30"/>
        <v>-13962.264150943394</v>
      </c>
      <c r="G63" s="391">
        <f t="shared" si="30"/>
        <v>-13527.945888216445</v>
      </c>
      <c r="H63" s="391">
        <f t="shared" si="30"/>
        <v>-13098.060815303905</v>
      </c>
      <c r="I63" s="391">
        <f t="shared" si="30"/>
        <v>-12673.498611808327</v>
      </c>
      <c r="J63" s="391">
        <f t="shared" si="30"/>
        <v>-12255.034035003333</v>
      </c>
      <c r="K63" s="391">
        <f t="shared" si="30"/>
        <v>-11843.337079386562</v>
      </c>
      <c r="L63" s="391">
        <f t="shared" si="30"/>
        <v>-11438.982354304178</v>
      </c>
      <c r="M63" s="391">
        <f t="shared" si="30"/>
        <v>-11042.457735616146</v>
      </c>
      <c r="N63" s="391">
        <f t="shared" si="30"/>
        <v>-10654.172343540449</v>
      </c>
      <c r="O63" s="391">
        <f t="shared" si="30"/>
        <v>-10274.463895238168</v>
      </c>
      <c r="P63" s="391">
        <f t="shared" si="30"/>
        <v>-9903.6054773624655</v>
      </c>
      <c r="Q63" s="391">
        <f t="shared" si="30"/>
        <v>-9541.8117806784103</v>
      </c>
      <c r="R63" s="391">
        <f t="shared" si="30"/>
        <v>-9189.244835952084</v>
      </c>
      <c r="S63" s="391">
        <f t="shared" si="30"/>
        <v>-8846.019287593459</v>
      </c>
      <c r="T63" s="391">
        <f t="shared" si="30"/>
        <v>-8512.2072390050234</v>
      </c>
      <c r="U63" s="391">
        <f t="shared" si="30"/>
        <v>-8187.8427012256998</v>
      </c>
      <c r="V63" s="391">
        <f t="shared" si="30"/>
        <v>-7872.925674255479</v>
      </c>
      <c r="W63" s="391">
        <f t="shared" si="30"/>
        <v>-7567.4258883908133</v>
      </c>
      <c r="X63" s="391">
        <f t="shared" si="30"/>
        <v>-7271.2862309834845</v>
      </c>
      <c r="Y63" s="391">
        <f t="shared" ref="Y63" si="31">IFERROR(Y58*Y44,"-")</f>
        <v>-6984.425882248288</v>
      </c>
      <c r="Z63" s="392"/>
      <c r="AA63" s="391">
        <f t="shared" si="2"/>
        <v>-197662.5860248078</v>
      </c>
      <c r="AB63" s="381"/>
      <c r="AC63" s="381"/>
      <c r="AD63" s="381"/>
      <c r="AE63" s="381"/>
      <c r="AF63" s="381"/>
      <c r="AG63" s="381"/>
      <c r="AH63" s="381"/>
      <c r="AI63" s="381"/>
      <c r="AJ63" s="381"/>
    </row>
    <row r="64" spans="1:36" x14ac:dyDescent="0.2">
      <c r="B64" s="387"/>
      <c r="C64" s="381"/>
      <c r="D64" s="381"/>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81"/>
      <c r="AC64" s="381"/>
      <c r="AD64" s="381"/>
      <c r="AE64" s="381"/>
      <c r="AF64" s="381"/>
      <c r="AG64" s="381"/>
      <c r="AH64" s="381"/>
      <c r="AI64" s="381"/>
      <c r="AJ64" s="381"/>
    </row>
    <row r="65" spans="2:36" x14ac:dyDescent="0.2">
      <c r="B65" s="403" t="s">
        <v>167</v>
      </c>
      <c r="C65" s="381"/>
      <c r="D65" s="381"/>
      <c r="E65" s="408">
        <f>SUM(E63:X63)</f>
        <v>-197662.5860248078</v>
      </c>
      <c r="F65" s="409" t="s">
        <v>216</v>
      </c>
      <c r="G65" s="392"/>
      <c r="H65" s="392"/>
      <c r="I65" s="392"/>
      <c r="J65" s="392"/>
      <c r="K65" s="392"/>
      <c r="L65" s="392"/>
      <c r="M65" s="392"/>
      <c r="N65" s="392"/>
      <c r="O65" s="392"/>
      <c r="P65" s="392"/>
      <c r="Q65" s="392"/>
      <c r="R65" s="392"/>
      <c r="S65" s="392"/>
      <c r="T65" s="392"/>
      <c r="U65" s="392"/>
      <c r="V65" s="392"/>
      <c r="W65" s="392"/>
      <c r="X65" s="392"/>
      <c r="Y65" s="392"/>
      <c r="Z65" s="392"/>
      <c r="AA65" s="392"/>
      <c r="AB65" s="381"/>
      <c r="AC65" s="381"/>
      <c r="AD65" s="381"/>
      <c r="AE65" s="381"/>
      <c r="AF65" s="381"/>
      <c r="AG65" s="381"/>
      <c r="AH65" s="381"/>
      <c r="AI65" s="381"/>
      <c r="AJ65" s="381"/>
    </row>
    <row r="66" spans="2:36" x14ac:dyDescent="0.2">
      <c r="B66" s="387"/>
      <c r="C66" s="381"/>
      <c r="D66" s="381"/>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81"/>
      <c r="AC66" s="381"/>
      <c r="AD66" s="381"/>
      <c r="AE66" s="381"/>
      <c r="AF66" s="381"/>
      <c r="AG66" s="381"/>
      <c r="AH66" s="381"/>
      <c r="AI66" s="381"/>
      <c r="AJ66" s="381"/>
    </row>
    <row r="67" spans="2:36" x14ac:dyDescent="0.2">
      <c r="B67" s="390" t="s">
        <v>344</v>
      </c>
      <c r="C67" s="381"/>
      <c r="D67" s="381"/>
      <c r="E67" s="391">
        <f>E52+E58</f>
        <v>0</v>
      </c>
      <c r="F67" s="391">
        <f>F52+F58</f>
        <v>-2846496.2377672121</v>
      </c>
      <c r="G67" s="391">
        <f t="shared" ref="G67:J67" si="32">G52+G58</f>
        <v>-2835123.8575325808</v>
      </c>
      <c r="H67" s="391">
        <f t="shared" si="32"/>
        <v>-2824391.6536535788</v>
      </c>
      <c r="I67" s="391">
        <f t="shared" si="32"/>
        <v>-2814292.5746108224</v>
      </c>
      <c r="J67" s="391">
        <f t="shared" si="32"/>
        <v>-2804879.6556760203</v>
      </c>
      <c r="K67" s="391">
        <f t="shared" ref="K67:X67" si="33">K52+K58</f>
        <v>-2796086.3572321134</v>
      </c>
      <c r="L67" s="391">
        <f t="shared" si="33"/>
        <v>-2787906.9613203234</v>
      </c>
      <c r="M67" s="391">
        <f t="shared" si="33"/>
        <v>-2780336.1681954698</v>
      </c>
      <c r="N67" s="391">
        <f t="shared" si="33"/>
        <v>-2787036.0508713368</v>
      </c>
      <c r="O67" s="391">
        <f t="shared" si="33"/>
        <v>-2780725.6572519229</v>
      </c>
      <c r="P67" s="391">
        <f t="shared" si="33"/>
        <v>-2775009.6863248404</v>
      </c>
      <c r="Q67" s="391">
        <f t="shared" si="33"/>
        <v>-2769884.4306646246</v>
      </c>
      <c r="R67" s="391">
        <f t="shared" si="33"/>
        <v>-2772420.3024241165</v>
      </c>
      <c r="S67" s="391">
        <f t="shared" si="33"/>
        <v>-2775350.7983461046</v>
      </c>
      <c r="T67" s="391">
        <f t="shared" si="33"/>
        <v>-2778734.8093891698</v>
      </c>
      <c r="U67" s="391">
        <f t="shared" si="33"/>
        <v>-2782517.2209330997</v>
      </c>
      <c r="V67" s="391">
        <f t="shared" si="33"/>
        <v>-2786700.2928732699</v>
      </c>
      <c r="W67" s="391">
        <f t="shared" si="33"/>
        <v>-2791286.5288361199</v>
      </c>
      <c r="X67" s="391">
        <f t="shared" si="33"/>
        <v>-2832877.2100655893</v>
      </c>
      <c r="Y67" s="391">
        <f t="shared" ref="Y67" si="34">Y52+Y58</f>
        <v>-2613633.7101694983</v>
      </c>
      <c r="Z67" s="392"/>
      <c r="AA67" s="391">
        <f t="shared" si="2"/>
        <v>-53122056.453968316</v>
      </c>
      <c r="AB67" s="381"/>
      <c r="AC67" s="381"/>
      <c r="AD67" s="381"/>
      <c r="AE67" s="381"/>
      <c r="AF67" s="381"/>
      <c r="AG67" s="381"/>
      <c r="AH67" s="381"/>
      <c r="AI67" s="381"/>
      <c r="AJ67" s="381"/>
    </row>
    <row r="68" spans="2:36" x14ac:dyDescent="0.2">
      <c r="B68" s="404" t="s">
        <v>171</v>
      </c>
      <c r="C68" s="381"/>
      <c r="D68" s="381"/>
      <c r="E68" s="391">
        <f t="shared" ref="E68:J68" si="35">IFERROR(E67*E44,"-")</f>
        <v>0</v>
      </c>
      <c r="F68" s="391">
        <f t="shared" si="35"/>
        <v>-2685373.8092143508</v>
      </c>
      <c r="G68" s="391">
        <f t="shared" si="35"/>
        <v>-2523250.1402034359</v>
      </c>
      <c r="H68" s="391">
        <f t="shared" si="35"/>
        <v>-2371413.6952430345</v>
      </c>
      <c r="I68" s="391">
        <f t="shared" si="35"/>
        <v>-2229183.314847046</v>
      </c>
      <c r="J68" s="391">
        <f t="shared" si="35"/>
        <v>-2095969.2466096377</v>
      </c>
      <c r="K68" s="391">
        <f t="shared" ref="K68:X68" si="36">IFERROR(K67*K44,"-")</f>
        <v>-1971130.5495103563</v>
      </c>
      <c r="L68" s="391">
        <f t="shared" si="36"/>
        <v>-1854117.3567433117</v>
      </c>
      <c r="M68" s="391">
        <f t="shared" si="36"/>
        <v>-1744417.308414967</v>
      </c>
      <c r="N68" s="391">
        <f t="shared" si="36"/>
        <v>-1649642.3563135327</v>
      </c>
      <c r="O68" s="391">
        <f t="shared" si="36"/>
        <v>-1552742.6830433318</v>
      </c>
      <c r="P68" s="391">
        <f t="shared" si="36"/>
        <v>-1461840.4855968398</v>
      </c>
      <c r="Q68" s="391">
        <f t="shared" si="36"/>
        <v>-1376547.7026892409</v>
      </c>
      <c r="R68" s="391">
        <f t="shared" si="36"/>
        <v>-1299818.8238336495</v>
      </c>
      <c r="S68" s="391">
        <f t="shared" si="36"/>
        <v>-1227540.3346003771</v>
      </c>
      <c r="T68" s="391">
        <f t="shared" si="36"/>
        <v>-1159468.9490077321</v>
      </c>
      <c r="U68" s="391">
        <f t="shared" si="36"/>
        <v>-1095327.5633871106</v>
      </c>
      <c r="V68" s="391">
        <f t="shared" si="36"/>
        <v>-1034881.3340668505</v>
      </c>
      <c r="W68" s="391">
        <f t="shared" si="36"/>
        <v>-977909.90464032337</v>
      </c>
      <c r="X68" s="391">
        <f t="shared" si="36"/>
        <v>-936302.7750734922</v>
      </c>
      <c r="Y68" s="391">
        <f t="shared" ref="Y68" si="37">IFERROR(Y67*Y44,"-")</f>
        <v>-814943.34517966362</v>
      </c>
      <c r="Z68" s="392"/>
      <c r="AA68" s="391">
        <f t="shared" si="2"/>
        <v>-31246878.333038617</v>
      </c>
      <c r="AB68" s="381"/>
      <c r="AC68" s="381"/>
      <c r="AD68" s="381"/>
      <c r="AE68" s="381"/>
      <c r="AF68" s="381"/>
      <c r="AG68" s="381"/>
      <c r="AH68" s="381"/>
      <c r="AI68" s="381"/>
      <c r="AJ68" s="381"/>
    </row>
    <row r="69" spans="2:36" x14ac:dyDescent="0.2">
      <c r="C69" s="381"/>
      <c r="D69" s="381"/>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81"/>
      <c r="AC69" s="381"/>
      <c r="AD69" s="381"/>
      <c r="AE69" s="381"/>
      <c r="AF69" s="381"/>
      <c r="AG69" s="381"/>
      <c r="AH69" s="381"/>
      <c r="AI69" s="381"/>
      <c r="AJ69" s="381"/>
    </row>
    <row r="70" spans="2:36" x14ac:dyDescent="0.2">
      <c r="B70" s="448" t="s">
        <v>139</v>
      </c>
      <c r="C70" s="381"/>
      <c r="D70" s="381"/>
      <c r="E70" s="408">
        <f>SUM(E68:X68)</f>
        <v>-31246878.333038617</v>
      </c>
      <c r="F70" s="409" t="s">
        <v>216</v>
      </c>
      <c r="G70" s="392"/>
      <c r="H70" s="392"/>
      <c r="I70" s="392"/>
      <c r="J70" s="392"/>
      <c r="K70" s="392"/>
      <c r="L70" s="392"/>
      <c r="M70" s="392"/>
      <c r="N70" s="392"/>
      <c r="O70" s="392"/>
      <c r="P70" s="392"/>
      <c r="Q70" s="392"/>
      <c r="R70" s="392"/>
      <c r="S70" s="392"/>
      <c r="T70" s="392"/>
      <c r="U70" s="392"/>
      <c r="V70" s="392"/>
      <c r="W70" s="392"/>
      <c r="X70" s="392"/>
      <c r="Y70" s="392"/>
      <c r="Z70" s="392"/>
      <c r="AA70" s="392"/>
      <c r="AB70" s="381"/>
      <c r="AC70" s="381"/>
      <c r="AD70" s="381"/>
      <c r="AE70" s="381"/>
      <c r="AF70" s="381"/>
      <c r="AG70" s="381"/>
      <c r="AH70" s="381"/>
      <c r="AI70" s="381"/>
      <c r="AJ70" s="381"/>
    </row>
    <row r="71" spans="2:36" x14ac:dyDescent="0.2">
      <c r="C71" s="381"/>
      <c r="D71" s="381"/>
      <c r="E71" s="392"/>
      <c r="F71" s="392"/>
      <c r="G71" s="392"/>
      <c r="H71" s="392"/>
      <c r="I71" s="392"/>
      <c r="J71" s="392"/>
      <c r="K71" s="392"/>
      <c r="L71" s="392"/>
      <c r="M71" s="392"/>
      <c r="N71" s="392"/>
      <c r="O71" s="392"/>
      <c r="P71" s="392"/>
      <c r="Q71" s="392"/>
      <c r="R71" s="392"/>
      <c r="S71" s="392"/>
      <c r="T71" s="392"/>
      <c r="U71" s="392"/>
      <c r="V71" s="392"/>
      <c r="W71" s="392"/>
      <c r="X71" s="392"/>
      <c r="Y71" s="392"/>
      <c r="Z71" s="392"/>
      <c r="AA71" s="392"/>
      <c r="AB71" s="381"/>
      <c r="AC71" s="381"/>
      <c r="AD71" s="381"/>
      <c r="AE71" s="381"/>
      <c r="AF71" s="381"/>
      <c r="AG71" s="381"/>
      <c r="AH71" s="381"/>
      <c r="AI71" s="381"/>
      <c r="AJ71" s="381"/>
    </row>
    <row r="72" spans="2:36" x14ac:dyDescent="0.2">
      <c r="B72" s="417" t="s">
        <v>346</v>
      </c>
      <c r="C72" s="449"/>
      <c r="D72" s="449"/>
      <c r="E72" s="369">
        <f>SUM(E34)</f>
        <v>0</v>
      </c>
      <c r="F72" s="369">
        <f t="shared" ref="F72:Y72" si="38">SUM(F34)</f>
        <v>2831696.2377672121</v>
      </c>
      <c r="G72" s="369">
        <f t="shared" si="38"/>
        <v>2819923.8575325808</v>
      </c>
      <c r="H72" s="369">
        <f t="shared" si="38"/>
        <v>2808791.6536535788</v>
      </c>
      <c r="I72" s="369">
        <f t="shared" si="38"/>
        <v>2798292.5746108224</v>
      </c>
      <c r="J72" s="369">
        <f t="shared" si="38"/>
        <v>2788479.6556760203</v>
      </c>
      <c r="K72" s="369">
        <f t="shared" si="38"/>
        <v>2779286.3572321134</v>
      </c>
      <c r="L72" s="369">
        <f t="shared" si="38"/>
        <v>2770706.9613203234</v>
      </c>
      <c r="M72" s="369">
        <f t="shared" si="38"/>
        <v>2762736.1681954698</v>
      </c>
      <c r="N72" s="369">
        <f t="shared" si="38"/>
        <v>2769036.0508713368</v>
      </c>
      <c r="O72" s="369">
        <f t="shared" si="38"/>
        <v>2762325.6572519229</v>
      </c>
      <c r="P72" s="369">
        <f t="shared" si="38"/>
        <v>2756209.6863248404</v>
      </c>
      <c r="Q72" s="369">
        <f t="shared" si="38"/>
        <v>2750684.4306646246</v>
      </c>
      <c r="R72" s="369">
        <f t="shared" si="38"/>
        <v>2752820.3024241165</v>
      </c>
      <c r="S72" s="369">
        <f t="shared" si="38"/>
        <v>2755350.7983461046</v>
      </c>
      <c r="T72" s="369">
        <f t="shared" si="38"/>
        <v>2758334.8093891698</v>
      </c>
      <c r="U72" s="369">
        <f t="shared" si="38"/>
        <v>2761717.2209330997</v>
      </c>
      <c r="V72" s="369">
        <f t="shared" si="38"/>
        <v>2765500.2928732699</v>
      </c>
      <c r="W72" s="369">
        <f t="shared" si="38"/>
        <v>2769686.5288361199</v>
      </c>
      <c r="X72" s="369">
        <f t="shared" si="38"/>
        <v>2810877.2100655893</v>
      </c>
      <c r="Y72" s="369">
        <f t="shared" si="38"/>
        <v>2591233.7101694983</v>
      </c>
      <c r="Z72" s="392"/>
      <c r="AA72" s="391">
        <f>SUM(E72:X72)</f>
        <v>52772456.453968316</v>
      </c>
      <c r="AB72" s="381"/>
      <c r="AC72" s="381"/>
      <c r="AD72" s="381"/>
      <c r="AE72" s="381"/>
      <c r="AF72" s="381"/>
      <c r="AG72" s="381"/>
      <c r="AH72" s="381"/>
      <c r="AI72" s="381"/>
      <c r="AJ72" s="381"/>
    </row>
    <row r="73" spans="2:36" x14ac:dyDescent="0.2">
      <c r="B73" s="419" t="s">
        <v>347</v>
      </c>
      <c r="C73" s="419"/>
      <c r="D73" s="419"/>
      <c r="E73" s="420">
        <f t="shared" ref="E73:X73" si="39">E72*E44</f>
        <v>0</v>
      </c>
      <c r="F73" s="420">
        <f t="shared" si="39"/>
        <v>2671411.5450634072</v>
      </c>
      <c r="G73" s="420">
        <f t="shared" si="39"/>
        <v>2509722.1943152193</v>
      </c>
      <c r="H73" s="420">
        <f t="shared" si="39"/>
        <v>2358315.6344277305</v>
      </c>
      <c r="I73" s="420">
        <f t="shared" si="39"/>
        <v>2216509.8162352378</v>
      </c>
      <c r="J73" s="420">
        <f t="shared" si="39"/>
        <v>2083714.2125746345</v>
      </c>
      <c r="K73" s="420">
        <f t="shared" si="39"/>
        <v>1959287.2124309698</v>
      </c>
      <c r="L73" s="420">
        <f t="shared" si="39"/>
        <v>1842678.3743890077</v>
      </c>
      <c r="M73" s="420">
        <f t="shared" si="39"/>
        <v>1733374.8506793508</v>
      </c>
      <c r="N73" s="420">
        <f t="shared" si="39"/>
        <v>1638988.1839699922</v>
      </c>
      <c r="O73" s="420">
        <f t="shared" si="39"/>
        <v>1542468.2191480938</v>
      </c>
      <c r="P73" s="420">
        <f t="shared" si="39"/>
        <v>1451936.8801194774</v>
      </c>
      <c r="Q73" s="420">
        <f t="shared" si="39"/>
        <v>1367005.8909085623</v>
      </c>
      <c r="R73" s="420">
        <f t="shared" si="39"/>
        <v>1290629.5789976972</v>
      </c>
      <c r="S73" s="420">
        <f t="shared" si="39"/>
        <v>1218694.3153127837</v>
      </c>
      <c r="T73" s="420">
        <f t="shared" si="39"/>
        <v>1150956.7417687271</v>
      </c>
      <c r="U73" s="420">
        <f t="shared" si="39"/>
        <v>1087139.7206858848</v>
      </c>
      <c r="V73" s="420">
        <f t="shared" si="39"/>
        <v>1027008.408392595</v>
      </c>
      <c r="W73" s="420">
        <f t="shared" si="39"/>
        <v>970342.4787519325</v>
      </c>
      <c r="X73" s="420">
        <f t="shared" si="39"/>
        <v>929031.48884250876</v>
      </c>
      <c r="Y73" s="420">
        <f t="shared" ref="Y73" si="40">Y72*Y44</f>
        <v>807958.9192974153</v>
      </c>
      <c r="Z73" s="420"/>
      <c r="AA73" s="450">
        <f>SUM(E73:X73)</f>
        <v>31049215.747013811</v>
      </c>
    </row>
    <row r="74" spans="2:36" x14ac:dyDescent="0.2"/>
  </sheetData>
  <mergeCells count="1">
    <mergeCell ref="E2:G2"/>
  </mergeCells>
  <conditionalFormatting sqref="B5:AA34 B35:D35 Z35:AA36 D36:AA36 B36:B37 AA37 B38:AA72">
    <cfRule type="expression" dxfId="11" priority="3">
      <formula>$E$2="NEAIZPILDĪT"</formula>
    </cfRule>
  </conditionalFormatting>
  <conditionalFormatting sqref="E2:G2">
    <cfRule type="cellIs" dxfId="10" priority="10" operator="equal">
      <formula>"NEAIZPILDĪT"</formula>
    </cfRule>
  </conditionalFormatting>
  <conditionalFormatting sqref="E35:Y37">
    <cfRule type="expression" dxfId="9" priority="1">
      <formula>$E$2="NEAIZPILDĪT"</formula>
    </cfRule>
  </conditionalFormatting>
  <conditionalFormatting sqref="AA73">
    <cfRule type="expression" dxfId="8" priority="6">
      <formula>$E$2="NEAIZPILDĪT"</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F54F5-7B04-44F6-A105-5331E5331E53}">
  <sheetPr>
    <tabColor rgb="FFFF0000"/>
  </sheetPr>
  <dimension ref="B2:V29"/>
  <sheetViews>
    <sheetView showGridLines="0" zoomScaleNormal="100" workbookViewId="0">
      <selection activeCell="C11" sqref="C11"/>
    </sheetView>
  </sheetViews>
  <sheetFormatPr defaultRowHeight="15" x14ac:dyDescent="0.25"/>
  <cols>
    <col min="1" max="1" width="3.28515625" customWidth="1"/>
    <col min="2" max="2" width="51.85546875" customWidth="1"/>
  </cols>
  <sheetData>
    <row r="2" spans="2:22" s="488" customFormat="1" x14ac:dyDescent="0.25">
      <c r="B2" s="488" t="s">
        <v>513</v>
      </c>
      <c r="C2" s="488">
        <f>NPV_PPP_koncesija!F8</f>
        <v>2029</v>
      </c>
      <c r="D2" s="488">
        <f>NPV_PPP_koncesija!G8</f>
        <v>2030</v>
      </c>
      <c r="E2" s="488">
        <f>NPV_PPP_koncesija!H8</f>
        <v>2031</v>
      </c>
      <c r="F2" s="488">
        <f>NPV_PPP_koncesija!I8</f>
        <v>2032</v>
      </c>
      <c r="G2" s="488">
        <f>NPV_PPP_koncesija!J8</f>
        <v>2033</v>
      </c>
      <c r="H2" s="488">
        <f>NPV_PPP_koncesija!K8</f>
        <v>2034</v>
      </c>
      <c r="I2" s="488">
        <f>NPV_PPP_koncesija!L8</f>
        <v>2035</v>
      </c>
      <c r="J2" s="488">
        <f>NPV_PPP_koncesija!M8</f>
        <v>2036</v>
      </c>
      <c r="K2" s="488">
        <f>NPV_PPP_koncesija!N8</f>
        <v>2037</v>
      </c>
      <c r="L2" s="488">
        <f>NPV_PPP_koncesija!O8</f>
        <v>2038</v>
      </c>
      <c r="M2" s="488">
        <f>NPV_PPP_koncesija!P8</f>
        <v>2039</v>
      </c>
      <c r="N2" s="488">
        <f>NPV_PPP_koncesija!Q8</f>
        <v>2040</v>
      </c>
      <c r="O2" s="488">
        <f>NPV_PPP_koncesija!R8</f>
        <v>2041</v>
      </c>
      <c r="P2" s="488">
        <f>NPV_PPP_koncesija!S8</f>
        <v>2042</v>
      </c>
      <c r="Q2" s="489">
        <f>NPV_PPP_koncesija!T8</f>
        <v>2043</v>
      </c>
      <c r="R2" s="489">
        <f>NPV_PPP_koncesija!U8</f>
        <v>2044</v>
      </c>
      <c r="S2" s="489">
        <f>NPV_PPP_koncesija!V8</f>
        <v>2045</v>
      </c>
      <c r="T2" s="489">
        <f>NPV_PPP_koncesija!W8</f>
        <v>2046</v>
      </c>
      <c r="U2" s="489">
        <f>NPV_PPP_koncesija!X8</f>
        <v>2047</v>
      </c>
      <c r="V2" s="489">
        <f>NPV_PPP_koncesija!Y8</f>
        <v>2048</v>
      </c>
    </row>
    <row r="3" spans="2:22" x14ac:dyDescent="0.25">
      <c r="B3" s="500" t="s">
        <v>511</v>
      </c>
      <c r="C3" s="501">
        <f>'Proj_FinEkonAnalize '!H123</f>
        <v>99.575559089732991</v>
      </c>
      <c r="D3" s="501">
        <f>'Proj_FinEkonAnalize '!I123</f>
        <v>99.909976999562687</v>
      </c>
      <c r="E3" s="501">
        <f>'Proj_FinEkonAnalize '!J123</f>
        <v>100.26784980736444</v>
      </c>
      <c r="F3" s="501">
        <f>'Proj_FinEkonAnalize '!K123</f>
        <v>100.64941144453324</v>
      </c>
      <c r="G3" s="501">
        <f>'Proj_FinEkonAnalize '!L123</f>
        <v>101.05248523427096</v>
      </c>
      <c r="H3" s="501">
        <f>'Proj_FinEkonAnalize '!M123</f>
        <v>101.47966389213801</v>
      </c>
      <c r="I3" s="501">
        <f>'Proj_FinEkonAnalize '!N123</f>
        <v>101.931228019797</v>
      </c>
      <c r="J3" s="501">
        <f>'Proj_FinEkonAnalize '!O123</f>
        <v>102.4074755009905</v>
      </c>
      <c r="K3" s="501">
        <f>'Proj_FinEkonAnalize '!P123</f>
        <v>103.4143216991894</v>
      </c>
      <c r="L3" s="501">
        <f>'Proj_FinEkonAnalize '!Q123</f>
        <v>103.94197437973497</v>
      </c>
      <c r="M3" s="501">
        <f>'Proj_FinEkonAnalize '!R123</f>
        <v>104.49522159734408</v>
      </c>
      <c r="N3" s="501">
        <f>'Proj_FinEkonAnalize '!S123</f>
        <v>105.07442665373829</v>
      </c>
      <c r="O3" s="501">
        <f>'Proj_FinEkonAnalize '!T123</f>
        <v>105.95222948363153</v>
      </c>
      <c r="P3" s="501">
        <f>'Proj_FinEkonAnalize '!U123</f>
        <v>106.85353852601884</v>
      </c>
      <c r="Q3" s="501">
        <f>'Proj_FinEkonAnalize '!V123</f>
        <v>107.77578424475658</v>
      </c>
      <c r="R3" s="501">
        <f>'Proj_FinEkonAnalize '!W123</f>
        <v>108.72236410377332</v>
      </c>
      <c r="S3" s="501">
        <f>'Proj_FinEkonAnalize '!X123</f>
        <v>109.6937817395481</v>
      </c>
      <c r="T3" s="501">
        <f>'Proj_FinEkonAnalize '!Y123</f>
        <v>110.69055845113358</v>
      </c>
      <c r="U3" s="501">
        <f>'Proj_FinEkonAnalize '!Z123</f>
        <v>113.18696464264883</v>
      </c>
      <c r="V3" s="501">
        <f>'Proj_FinEkonAnalize '!AA123</f>
        <v>105.13286552549103</v>
      </c>
    </row>
    <row r="4" spans="2:22" x14ac:dyDescent="0.25">
      <c r="B4" s="500" t="s">
        <v>506</v>
      </c>
      <c r="C4" s="501">
        <f>NPV_Bāze_I!F61/'Proj_FinEkonAnalize '!H88</f>
        <v>126.70669611282365</v>
      </c>
      <c r="D4" s="501">
        <f>NPV_Bāze_I!G61/'Proj_FinEkonAnalize '!I88</f>
        <v>127.13223214659364</v>
      </c>
      <c r="E4" s="501">
        <f>NPV_Bāze_I!H61/'Proj_FinEkonAnalize '!J88</f>
        <v>127.58761378361081</v>
      </c>
      <c r="F4" s="501">
        <f>NPV_Bāze_I!I61/'Proj_FinEkonAnalize '!K88</f>
        <v>128.07313869405081</v>
      </c>
      <c r="G4" s="501">
        <f>NPV_Bāze_I!J61/'Proj_FinEkonAnalize '!L88</f>
        <v>128.58603712670052</v>
      </c>
      <c r="H4" s="501">
        <f>NPV_Bāze_I!K61/'Proj_FinEkonAnalize '!M88</f>
        <v>129.12960822871631</v>
      </c>
      <c r="I4" s="501">
        <f>NPV_Bāze_I!L61/'Proj_FinEkonAnalize '!N88</f>
        <v>129.70420905668837</v>
      </c>
      <c r="J4" s="501">
        <f>NPV_Bāze_I!M61/'Proj_FinEkonAnalize '!O88</f>
        <v>130.31021865809774</v>
      </c>
      <c r="K4" s="501">
        <f>NPV_Bāze_I!N61/'Proj_FinEkonAnalize '!P88</f>
        <v>131.59139806028992</v>
      </c>
      <c r="L4" s="501">
        <f>NPV_Bāze_I!O61/'Proj_FinEkonAnalize '!Q88</f>
        <v>132.26281912443633</v>
      </c>
      <c r="M4" s="501">
        <f>NPV_Bāze_I!P61/'Proj_FinEkonAnalize '!R88</f>
        <v>132.96680841375274</v>
      </c>
      <c r="N4" s="501">
        <f>NPV_Bāze_I!Q61/'Proj_FinEkonAnalize '!S88</f>
        <v>133.70382821799424</v>
      </c>
      <c r="O4" s="501">
        <f>NPV_Bāze_I!R61/'Proj_FinEkonAnalize '!T88</f>
        <v>134.82080408467283</v>
      </c>
      <c r="P4" s="501">
        <f>NPV_Bāze_I!S61/'Proj_FinEkonAnalize '!U88</f>
        <v>135.96769085067726</v>
      </c>
      <c r="Q4" s="501">
        <f>NPV_Bāze_I!T61/'Proj_FinEkonAnalize '!V88</f>
        <v>137.14121886391345</v>
      </c>
      <c r="R4" s="501">
        <f>NPV_Bāze_I!U61/'Proj_FinEkonAnalize '!W88</f>
        <v>138.34571128795167</v>
      </c>
      <c r="S4" s="501">
        <f>NPV_Bāze_I!V61/'Proj_FinEkonAnalize '!X88</f>
        <v>139.58180898401213</v>
      </c>
      <c r="T4" s="501">
        <f>NPV_Bāze_I!W61/'Proj_FinEkonAnalize '!Y88</f>
        <v>140.85017528837187</v>
      </c>
      <c r="U4" s="501">
        <f>NPV_Bāze_I!X61/'Proj_FinEkonAnalize '!Z88</f>
        <v>144.02677187064614</v>
      </c>
      <c r="V4" s="501">
        <f>NPV_Bāze_I!Y61/'Proj_FinEkonAnalize '!AA88</f>
        <v>133.77818980262444</v>
      </c>
    </row>
    <row r="5" spans="2:22" x14ac:dyDescent="0.25">
      <c r="B5" s="500" t="s">
        <v>507</v>
      </c>
      <c r="C5" s="501">
        <f>NPV_PPP_koncesija!F72/'Proj_FinEkonAnalize '!H88</f>
        <v>124.77181043257158</v>
      </c>
      <c r="D5" s="501">
        <f>NPV_PPP_koncesija!G72/'Proj_FinEkonAnalize '!I88</f>
        <v>125.19084828113566</v>
      </c>
      <c r="E5" s="501">
        <f>NPV_PPP_koncesija!H72/'Proj_FinEkonAnalize '!J88</f>
        <v>125.63927597305327</v>
      </c>
      <c r="F5" s="501">
        <f>NPV_PPP_koncesija!I72/'Proj_FinEkonAnalize '!K88</f>
        <v>126.11738663290167</v>
      </c>
      <c r="G5" s="501">
        <f>NPV_PPP_koncesija!J72/'Proj_FinEkonAnalize '!L88</f>
        <v>126.62245280519572</v>
      </c>
      <c r="H5" s="501">
        <f>NPV_PPP_koncesija!K72/'Proj_FinEkonAnalize '!M88</f>
        <v>127.1577232571768</v>
      </c>
      <c r="I5" s="501">
        <f>NPV_PPP_koncesija!L72/'Proj_FinEkonAnalize '!N88</f>
        <v>127.72354959297117</v>
      </c>
      <c r="J5" s="501">
        <f>NPV_PPP_koncesija!M72/'Proj_FinEkonAnalize '!O88</f>
        <v>128.32030507178214</v>
      </c>
      <c r="K5" s="501">
        <f>NPV_PPP_koncesija!N72/'Proj_FinEkonAnalize '!P88</f>
        <v>129.58192011190681</v>
      </c>
      <c r="L5" s="501">
        <f>NPV_PPP_koncesija!O72/'Proj_FinEkonAnalize '!Q88</f>
        <v>130.24308818199458</v>
      </c>
      <c r="M5" s="501">
        <f>NPV_PPP_koncesija!P72/'Proj_FinEkonAnalize '!R88</f>
        <v>130.93632714132258</v>
      </c>
      <c r="N5" s="501">
        <f>NPV_PPP_koncesija!Q72/'Proj_FinEkonAnalize '!S88</f>
        <v>131.66209222020987</v>
      </c>
      <c r="O5" s="501">
        <f>NPV_PPP_koncesija!R72/'Proj_FinEkonAnalize '!T88</f>
        <v>132.76201120926532</v>
      </c>
      <c r="P5" s="501">
        <f>NPV_PPP_koncesija!S72/'Proj_FinEkonAnalize '!U88</f>
        <v>133.89138434064358</v>
      </c>
      <c r="Q5" s="501">
        <f>NPV_PPP_koncesija!T72/'Proj_FinEkonAnalize '!V88</f>
        <v>135.04699189175861</v>
      </c>
      <c r="R5" s="501">
        <f>NPV_PPP_koncesija!U72/'Proj_FinEkonAnalize '!W88</f>
        <v>136.23309100893348</v>
      </c>
      <c r="S5" s="501">
        <f>NPV_PPP_koncesija!V72/'Proj_FinEkonAnalize '!X88</f>
        <v>137.45031276706112</v>
      </c>
      <c r="T5" s="501">
        <f>NPV_PPP_koncesija!W72/'Proj_FinEkonAnalize '!Y88</f>
        <v>138.69931037288396</v>
      </c>
      <c r="U5" s="501">
        <f>NPV_PPP_koncesija!X72/'Proj_FinEkonAnalize '!Z88</f>
        <v>141.82739845933645</v>
      </c>
      <c r="V5" s="501">
        <f>NPV_PPP_koncesija!Y72/'Proj_FinEkonAnalize '!AA88</f>
        <v>131.73531825976099</v>
      </c>
    </row>
    <row r="6" spans="2:22" x14ac:dyDescent="0.25">
      <c r="C6" s="487">
        <f>C4/C3</f>
        <v>1.2724678351907752</v>
      </c>
      <c r="D6" s="487">
        <f t="shared" ref="D6:R6" si="0">D4/D3</f>
        <v>1.2724678351907748</v>
      </c>
      <c r="E6" s="487">
        <f>E4/E3</f>
        <v>1.272467835190775</v>
      </c>
      <c r="F6" s="487">
        <f t="shared" si="0"/>
        <v>1.2724678351907748</v>
      </c>
      <c r="G6" s="487">
        <f t="shared" si="0"/>
        <v>1.272467835190775</v>
      </c>
      <c r="H6" s="487">
        <f t="shared" si="0"/>
        <v>1.272467835190775</v>
      </c>
      <c r="I6" s="487">
        <f t="shared" si="0"/>
        <v>1.272467835190775</v>
      </c>
      <c r="J6" s="487">
        <f t="shared" si="0"/>
        <v>1.2724678351907752</v>
      </c>
      <c r="K6" s="487">
        <f t="shared" si="0"/>
        <v>1.272467835190775</v>
      </c>
      <c r="L6" s="487">
        <f t="shared" si="0"/>
        <v>1.2724678351907748</v>
      </c>
      <c r="M6" s="487">
        <f t="shared" si="0"/>
        <v>1.272467835190775</v>
      </c>
      <c r="N6" s="487">
        <f t="shared" si="0"/>
        <v>1.2724678351907752</v>
      </c>
      <c r="O6" s="487">
        <f t="shared" si="0"/>
        <v>1.2724678351907752</v>
      </c>
      <c r="P6" s="487">
        <f t="shared" si="0"/>
        <v>1.272467835190775</v>
      </c>
      <c r="Q6" s="487">
        <f t="shared" si="0"/>
        <v>1.272467835190775</v>
      </c>
      <c r="R6" s="487">
        <f t="shared" si="0"/>
        <v>1.2724678351907752</v>
      </c>
      <c r="S6" s="487">
        <f t="shared" ref="S6:V6" si="1">S4/S3</f>
        <v>1.272467835190775</v>
      </c>
      <c r="T6" s="487">
        <f t="shared" si="1"/>
        <v>1.2724678351907748</v>
      </c>
      <c r="U6" s="487">
        <f t="shared" si="1"/>
        <v>1.272467835190775</v>
      </c>
      <c r="V6" s="487">
        <f t="shared" si="1"/>
        <v>1.2724678351907752</v>
      </c>
    </row>
    <row r="7" spans="2:22" x14ac:dyDescent="0.25">
      <c r="C7" s="487">
        <f>C5/C3</f>
        <v>1.2530365038687141</v>
      </c>
      <c r="D7" s="487">
        <f t="shared" ref="D7:R7" si="2">D5/D3</f>
        <v>1.2530365038687139</v>
      </c>
      <c r="E7" s="487">
        <f t="shared" si="2"/>
        <v>1.2530365038687143</v>
      </c>
      <c r="F7" s="487">
        <f t="shared" si="2"/>
        <v>1.2530365038687141</v>
      </c>
      <c r="G7" s="487">
        <f t="shared" si="2"/>
        <v>1.2530365038687139</v>
      </c>
      <c r="H7" s="487">
        <f t="shared" si="2"/>
        <v>1.2530365038687141</v>
      </c>
      <c r="I7" s="487">
        <f t="shared" si="2"/>
        <v>1.2530365038687143</v>
      </c>
      <c r="J7" s="487">
        <f t="shared" si="2"/>
        <v>1.2530365038687143</v>
      </c>
      <c r="K7" s="487">
        <f t="shared" si="2"/>
        <v>1.2530365038687143</v>
      </c>
      <c r="L7" s="487">
        <f t="shared" si="2"/>
        <v>1.2530365038687143</v>
      </c>
      <c r="M7" s="487">
        <f t="shared" si="2"/>
        <v>1.2530365038687141</v>
      </c>
      <c r="N7" s="487">
        <f t="shared" si="2"/>
        <v>1.2530365038687143</v>
      </c>
      <c r="O7" s="487">
        <f t="shared" si="2"/>
        <v>1.2530365038687139</v>
      </c>
      <c r="P7" s="487">
        <f t="shared" si="2"/>
        <v>1.2530365038687139</v>
      </c>
      <c r="Q7" s="487">
        <f t="shared" si="2"/>
        <v>1.2530365038687139</v>
      </c>
      <c r="R7" s="487">
        <f t="shared" si="2"/>
        <v>1.2530365038687139</v>
      </c>
      <c r="S7" s="487">
        <f t="shared" ref="S7:V7" si="3">S5/S3</f>
        <v>1.2530365038687139</v>
      </c>
      <c r="T7" s="487">
        <f t="shared" si="3"/>
        <v>1.2530365038687139</v>
      </c>
      <c r="U7" s="487">
        <f t="shared" si="3"/>
        <v>1.2530365038687141</v>
      </c>
      <c r="V7" s="487">
        <f t="shared" si="3"/>
        <v>1.2530365038687146</v>
      </c>
    </row>
    <row r="8" spans="2:22" s="488" customFormat="1" x14ac:dyDescent="0.25">
      <c r="B8" s="488" t="s">
        <v>515</v>
      </c>
      <c r="C8" s="490"/>
      <c r="D8" s="490"/>
      <c r="E8" s="490"/>
      <c r="F8" s="490"/>
      <c r="G8" s="490"/>
      <c r="H8" s="490"/>
      <c r="I8" s="490"/>
      <c r="J8" s="490"/>
      <c r="K8" s="490"/>
      <c r="L8" s="490"/>
      <c r="M8" s="490"/>
      <c r="N8" s="490"/>
      <c r="O8" s="490"/>
      <c r="P8" s="490"/>
      <c r="Q8" s="490"/>
      <c r="R8" s="490"/>
      <c r="S8" s="491"/>
      <c r="T8" s="491"/>
      <c r="U8" s="491"/>
      <c r="V8" s="491"/>
    </row>
    <row r="9" spans="2:22" x14ac:dyDescent="0.25">
      <c r="B9" s="500" t="s">
        <v>511</v>
      </c>
      <c r="C9" s="501">
        <v>89.653527006132109</v>
      </c>
      <c r="D9" s="501">
        <v>89.916260675204811</v>
      </c>
      <c r="E9" s="501">
        <v>90.201876956297809</v>
      </c>
      <c r="F9" s="501">
        <v>90.510607905835357</v>
      </c>
      <c r="G9" s="501">
        <v>90.840738829047368</v>
      </c>
      <c r="H9" s="501">
        <v>91.19441087526279</v>
      </c>
      <c r="I9" s="501">
        <v>91.571903506968724</v>
      </c>
      <c r="J9" s="501">
        <v>91.973513624328561</v>
      </c>
      <c r="K9" s="501">
        <v>92.906771766747823</v>
      </c>
      <c r="L9" s="501">
        <v>93.359167896478297</v>
      </c>
      <c r="M9" s="501">
        <v>93.836605731663525</v>
      </c>
      <c r="N9" s="501">
        <v>94.339448633998018</v>
      </c>
      <c r="O9" s="501">
        <v>95.140336797960714</v>
      </c>
      <c r="P9" s="501">
        <v>95.96417913045137</v>
      </c>
      <c r="Q9" s="501">
        <v>96.808943738473801</v>
      </c>
      <c r="R9" s="501">
        <v>97.677507894351621</v>
      </c>
      <c r="S9" s="501">
        <v>98.570376740719254</v>
      </c>
      <c r="T9" s="501">
        <v>99.48807333275235</v>
      </c>
      <c r="U9" s="501">
        <v>101.90860039396436</v>
      </c>
      <c r="V9" s="501">
        <v>101.51781393892824</v>
      </c>
    </row>
    <row r="10" spans="2:22" x14ac:dyDescent="0.25">
      <c r="B10" s="500" t="s">
        <v>506</v>
      </c>
      <c r="C10" s="501">
        <f>C9*C6</f>
        <v>114.08122942671062</v>
      </c>
      <c r="D10" s="501">
        <f t="shared" ref="D10:V10" si="4">D9*D6</f>
        <v>114.41554956982726</v>
      </c>
      <c r="E10" s="501">
        <f t="shared" si="4"/>
        <v>114.77898710072492</v>
      </c>
      <c r="F10" s="501">
        <f t="shared" si="4"/>
        <v>115.17183730373934</v>
      </c>
      <c r="G10" s="501">
        <f t="shared" si="4"/>
        <v>115.59191828492848</v>
      </c>
      <c r="H10" s="501">
        <f t="shared" si="4"/>
        <v>116.04195458794371</v>
      </c>
      <c r="I10" s="501">
        <f t="shared" si="4"/>
        <v>116.52230181981103</v>
      </c>
      <c r="J10" s="501">
        <f t="shared" si="4"/>
        <v>117.03333777643863</v>
      </c>
      <c r="K10" s="501">
        <f t="shared" si="4"/>
        <v>118.22087874459702</v>
      </c>
      <c r="L10" s="501">
        <f t="shared" si="4"/>
        <v>118.79653826844381</v>
      </c>
      <c r="M10" s="501">
        <f t="shared" si="4"/>
        <v>119.40406255702015</v>
      </c>
      <c r="N10" s="501">
        <f t="shared" si="4"/>
        <v>120.04391397639479</v>
      </c>
      <c r="O10" s="501">
        <f t="shared" si="4"/>
        <v>121.06301840462233</v>
      </c>
      <c r="P10" s="501">
        <f t="shared" si="4"/>
        <v>122.1113312739852</v>
      </c>
      <c r="Q10" s="501">
        <f t="shared" si="4"/>
        <v>123.18626706600129</v>
      </c>
      <c r="R10" s="501">
        <f t="shared" si="4"/>
        <v>124.29148701715546</v>
      </c>
      <c r="S10" s="501">
        <f t="shared" si="4"/>
        <v>125.42763390520214</v>
      </c>
      <c r="T10" s="501">
        <f t="shared" si="4"/>
        <v>126.59537330102843</v>
      </c>
      <c r="U10" s="501">
        <f t="shared" si="4"/>
        <v>129.6754161306296</v>
      </c>
      <c r="V10" s="501">
        <f t="shared" si="4"/>
        <v>129.17815293616792</v>
      </c>
    </row>
    <row r="11" spans="2:22" x14ac:dyDescent="0.25">
      <c r="B11" s="500" t="s">
        <v>507</v>
      </c>
      <c r="C11" s="501">
        <f>C9*C7</f>
        <v>112.33914203926312</v>
      </c>
      <c r="D11" s="501">
        <f t="shared" ref="D11:V11" si="5">D9*D7</f>
        <v>112.66835691740656</v>
      </c>
      <c r="E11" s="501">
        <f t="shared" si="5"/>
        <v>113.02624454371535</v>
      </c>
      <c r="F11" s="501">
        <f t="shared" si="5"/>
        <v>113.41309569335994</v>
      </c>
      <c r="G11" s="501">
        <f t="shared" si="5"/>
        <v>113.82676179120044</v>
      </c>
      <c r="H11" s="501">
        <f t="shared" si="5"/>
        <v>114.26992577550632</v>
      </c>
      <c r="I11" s="501">
        <f t="shared" si="5"/>
        <v>114.74293782297535</v>
      </c>
      <c r="J11" s="501">
        <f t="shared" si="5"/>
        <v>115.24616996035023</v>
      </c>
      <c r="K11" s="501">
        <f t="shared" si="5"/>
        <v>116.41557648033427</v>
      </c>
      <c r="L11" s="501">
        <f t="shared" si="5"/>
        <v>116.98244534509548</v>
      </c>
      <c r="M11" s="501">
        <f t="shared" si="5"/>
        <v>117.58069238091061</v>
      </c>
      <c r="N11" s="501">
        <f t="shared" si="5"/>
        <v>118.21077289324704</v>
      </c>
      <c r="O11" s="501">
        <f t="shared" si="5"/>
        <v>119.21431499820865</v>
      </c>
      <c r="P11" s="501">
        <f t="shared" si="5"/>
        <v>120.24661951425178</v>
      </c>
      <c r="Q11" s="501">
        <f t="shared" si="5"/>
        <v>121.30514040528023</v>
      </c>
      <c r="R11" s="501">
        <f t="shared" si="5"/>
        <v>122.39348299854706</v>
      </c>
      <c r="S11" s="501">
        <f t="shared" si="5"/>
        <v>123.51228025621285</v>
      </c>
      <c r="T11" s="501">
        <f t="shared" si="5"/>
        <v>124.66218758550623</v>
      </c>
      <c r="U11" s="501">
        <f t="shared" si="5"/>
        <v>127.69519635180697</v>
      </c>
      <c r="V11" s="501">
        <f t="shared" si="5"/>
        <v>127.20552665842931</v>
      </c>
    </row>
    <row r="12" spans="2:22" x14ac:dyDescent="0.25">
      <c r="C12" s="487"/>
      <c r="D12" s="487"/>
      <c r="E12" s="487"/>
      <c r="F12" s="487"/>
      <c r="G12" s="487"/>
      <c r="H12" s="487"/>
      <c r="I12" s="487"/>
      <c r="J12" s="487"/>
      <c r="K12" s="487"/>
      <c r="L12" s="487"/>
      <c r="M12" s="487"/>
      <c r="N12" s="487"/>
      <c r="O12" s="487"/>
      <c r="P12" s="487"/>
      <c r="Q12" s="487"/>
      <c r="R12" s="487"/>
      <c r="S12" s="484"/>
      <c r="T12" s="484"/>
      <c r="U12" s="484"/>
      <c r="V12" s="484"/>
    </row>
    <row r="13" spans="2:22" s="488" customFormat="1" x14ac:dyDescent="0.25">
      <c r="B13" s="488" t="s">
        <v>514</v>
      </c>
      <c r="C13" s="490"/>
      <c r="D13" s="490"/>
      <c r="E13" s="490"/>
      <c r="F13" s="490"/>
      <c r="G13" s="490"/>
      <c r="H13" s="490"/>
      <c r="I13" s="490"/>
      <c r="J13" s="490"/>
      <c r="K13" s="490"/>
      <c r="L13" s="490"/>
      <c r="M13" s="490"/>
      <c r="N13" s="490"/>
      <c r="O13" s="490"/>
      <c r="P13" s="490"/>
      <c r="Q13" s="490"/>
      <c r="R13" s="490"/>
      <c r="S13" s="491"/>
      <c r="T13" s="491"/>
      <c r="U13" s="491"/>
      <c r="V13" s="491"/>
    </row>
    <row r="14" spans="2:22" x14ac:dyDescent="0.25">
      <c r="B14" s="500" t="s">
        <v>521</v>
      </c>
      <c r="C14" s="501">
        <v>88.889660532635745</v>
      </c>
      <c r="D14" s="501">
        <v>89.146629171719795</v>
      </c>
      <c r="E14" s="501">
        <v>89.426427429727752</v>
      </c>
      <c r="F14" s="501">
        <v>89.729286938826164</v>
      </c>
      <c r="G14" s="501">
        <v>90.053528329728508</v>
      </c>
      <c r="H14" s="501">
        <v>90.401257669607844</v>
      </c>
      <c r="I14" s="501">
        <v>90.772754029441415</v>
      </c>
      <c r="J14" s="501">
        <v>91.168313920845051</v>
      </c>
      <c r="K14" s="501">
        <v>92.095505464347156</v>
      </c>
      <c r="L14" s="501">
        <v>92.541781427715037</v>
      </c>
      <c r="M14" s="501">
        <v>93.013045179834563</v>
      </c>
      <c r="N14" s="501">
        <v>93.509659737961258</v>
      </c>
      <c r="O14" s="501">
        <v>94.304264957304824</v>
      </c>
      <c r="P14" s="501">
        <v>95.121769411028666</v>
      </c>
      <c r="Q14" s="501">
        <v>95.960182435364871</v>
      </c>
      <c r="R14" s="501">
        <v>96.822340687563937</v>
      </c>
      <c r="S14" s="501">
        <v>97.708749026206334</v>
      </c>
      <c r="T14" s="501">
        <v>98.619930230143297</v>
      </c>
      <c r="U14" s="501">
        <v>101.03388675472928</v>
      </c>
      <c r="V14" s="501">
        <v>101.22403407761659</v>
      </c>
    </row>
    <row r="15" spans="2:22" x14ac:dyDescent="0.25">
      <c r="B15" s="500" t="s">
        <v>520</v>
      </c>
      <c r="C15" s="501">
        <f t="shared" ref="C15:V15" si="6">C14*C6</f>
        <v>113.10923390880589</v>
      </c>
      <c r="D15" s="501">
        <f t="shared" si="6"/>
        <v>113.43621823669307</v>
      </c>
      <c r="E15" s="501">
        <f t="shared" si="6"/>
        <v>113.79225252035062</v>
      </c>
      <c r="F15" s="501">
        <f t="shared" si="6"/>
        <v>114.17763150425999</v>
      </c>
      <c r="G15" s="501">
        <f t="shared" si="6"/>
        <v>114.59021824502076</v>
      </c>
      <c r="H15" s="501">
        <f t="shared" si="6"/>
        <v>115.03269264536934</v>
      </c>
      <c r="I15" s="501">
        <f t="shared" si="6"/>
        <v>115.50540981414801</v>
      </c>
      <c r="J15" s="501">
        <f t="shared" si="6"/>
        <v>116.00874705285072</v>
      </c>
      <c r="K15" s="501">
        <f t="shared" si="6"/>
        <v>117.18856846901801</v>
      </c>
      <c r="L15" s="501">
        <f t="shared" si="6"/>
        <v>117.7564402780224</v>
      </c>
      <c r="M15" s="501">
        <f t="shared" si="6"/>
        <v>118.35610824448584</v>
      </c>
      <c r="N15" s="501">
        <f t="shared" si="6"/>
        <v>118.98803429618955</v>
      </c>
      <c r="O15" s="501">
        <f t="shared" si="6"/>
        <v>119.99914387947895</v>
      </c>
      <c r="P15" s="501">
        <f t="shared" si="6"/>
        <v>121.03939200196773</v>
      </c>
      <c r="Q15" s="501">
        <f t="shared" si="6"/>
        <v>122.10624560804057</v>
      </c>
      <c r="R15" s="501">
        <f t="shared" si="6"/>
        <v>123.2033142528082</v>
      </c>
      <c r="S15" s="501">
        <f t="shared" si="6"/>
        <v>124.33124035257552</v>
      </c>
      <c r="T15" s="501">
        <f t="shared" si="6"/>
        <v>125.49068912661569</v>
      </c>
      <c r="U15" s="501">
        <f t="shared" si="6"/>
        <v>128.56237115970029</v>
      </c>
      <c r="V15" s="501">
        <f t="shared" si="6"/>
        <v>128.80432751202204</v>
      </c>
    </row>
    <row r="16" spans="2:22" x14ac:dyDescent="0.25">
      <c r="B16" s="500" t="s">
        <v>512</v>
      </c>
      <c r="C16" s="501">
        <f t="shared" ref="C16:V16" si="7">C14*C7</f>
        <v>111.38198946389072</v>
      </c>
      <c r="D16" s="501">
        <f t="shared" si="7"/>
        <v>111.70398054901247</v>
      </c>
      <c r="E16" s="501">
        <f t="shared" si="7"/>
        <v>112.05457798001537</v>
      </c>
      <c r="F16" s="501">
        <f t="shared" si="7"/>
        <v>112.43407200045941</v>
      </c>
      <c r="G16" s="501">
        <f t="shared" si="7"/>
        <v>112.84035829932519</v>
      </c>
      <c r="H16" s="501">
        <f t="shared" si="7"/>
        <v>113.2760758556602</v>
      </c>
      <c r="I16" s="501">
        <f t="shared" si="7"/>
        <v>113.74157435558602</v>
      </c>
      <c r="J16" s="501">
        <f t="shared" si="7"/>
        <v>114.23722533898112</v>
      </c>
      <c r="K16" s="501">
        <f t="shared" si="7"/>
        <v>115.39903018906764</v>
      </c>
      <c r="L16" s="501">
        <f t="shared" si="7"/>
        <v>115.95823026196678</v>
      </c>
      <c r="M16" s="501">
        <f t="shared" si="7"/>
        <v>116.54874094632265</v>
      </c>
      <c r="N16" s="501">
        <f t="shared" si="7"/>
        <v>117.17101711600806</v>
      </c>
      <c r="O16" s="501">
        <f t="shared" si="7"/>
        <v>118.16668646201011</v>
      </c>
      <c r="P16" s="501">
        <f t="shared" si="7"/>
        <v>119.19104938460133</v>
      </c>
      <c r="Q16" s="501">
        <f t="shared" si="7"/>
        <v>120.24161150941356</v>
      </c>
      <c r="R16" s="501">
        <f t="shared" si="7"/>
        <v>121.32192727153064</v>
      </c>
      <c r="S16" s="501">
        <f t="shared" si="7"/>
        <v>122.4326292771832</v>
      </c>
      <c r="T16" s="501">
        <f t="shared" si="7"/>
        <v>123.57437258735524</v>
      </c>
      <c r="U16" s="501">
        <f t="shared" si="7"/>
        <v>126.59914823141357</v>
      </c>
      <c r="V16" s="501">
        <f t="shared" si="7"/>
        <v>126.83740976810432</v>
      </c>
    </row>
    <row r="27" spans="2:2" x14ac:dyDescent="0.25">
      <c r="B27" s="485" t="s">
        <v>510</v>
      </c>
    </row>
    <row r="28" spans="2:2" x14ac:dyDescent="0.25">
      <c r="B28" s="486" t="s">
        <v>508</v>
      </c>
    </row>
    <row r="29" spans="2:2" x14ac:dyDescent="0.25">
      <c r="B29" s="486" t="s">
        <v>509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BE42-6323-471E-86A3-3D6833E83914}">
  <sheetPr>
    <tabColor theme="8" tint="0.59999389629810485"/>
  </sheetPr>
  <dimension ref="A1:Z62"/>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customHeight="1" zeroHeight="1" outlineLevelCol="1" x14ac:dyDescent="0.2"/>
  <cols>
    <col min="1" max="1" width="8.85546875" style="1" customWidth="1"/>
    <col min="2" max="2" width="38.7109375" style="1" bestFit="1" customWidth="1"/>
    <col min="3" max="3" width="3.28515625" style="1" customWidth="1"/>
    <col min="4" max="4" width="12.7109375" style="1" hidden="1" customWidth="1" outlineLevel="1"/>
    <col min="5" max="5" width="10.28515625" style="1" bestFit="1" customWidth="1" collapsed="1"/>
    <col min="6" max="15" width="8.85546875" style="1" customWidth="1"/>
    <col min="16" max="16" width="3.42578125" style="1" customWidth="1"/>
    <col min="17" max="18" width="8.85546875" style="1" customWidth="1"/>
    <col min="19" max="16384" width="8.85546875" style="1" hidden="1"/>
  </cols>
  <sheetData>
    <row r="1" spans="2:26" x14ac:dyDescent="0.2"/>
    <row r="2" spans="2:26" ht="15" x14ac:dyDescent="0.25">
      <c r="B2" s="46" t="s">
        <v>237</v>
      </c>
      <c r="C2" s="46"/>
      <c r="D2" s="46"/>
      <c r="E2" s="521" t="str">
        <f>IF(Titullapa!$D$20="Jā","AIZPILDĪT","NEAIZPILDĪT")</f>
        <v>NEAIZPILDĪT</v>
      </c>
      <c r="F2" s="521"/>
      <c r="G2" s="521"/>
      <c r="H2" s="46"/>
      <c r="I2" s="46"/>
      <c r="J2" s="46"/>
      <c r="K2" s="46"/>
      <c r="L2" s="46"/>
      <c r="M2" s="46"/>
      <c r="N2" s="46"/>
      <c r="O2" s="46"/>
    </row>
    <row r="3" spans="2:26" x14ac:dyDescent="0.2"/>
    <row r="4" spans="2:26" x14ac:dyDescent="0.2"/>
    <row r="5" spans="2:26" x14ac:dyDescent="0.2">
      <c r="B5" s="49" t="s">
        <v>146</v>
      </c>
      <c r="E5" s="58" t="s">
        <v>137</v>
      </c>
    </row>
    <row r="6" spans="2:26" x14ac:dyDescent="0.2">
      <c r="B6" s="49" t="s">
        <v>193</v>
      </c>
      <c r="C6" s="40"/>
      <c r="D6" s="40"/>
      <c r="E6" s="59"/>
      <c r="F6" s="40"/>
      <c r="G6" s="40"/>
      <c r="H6" s="40"/>
      <c r="I6" s="40"/>
      <c r="J6" s="40"/>
      <c r="K6" s="40"/>
      <c r="L6" s="40"/>
      <c r="M6" s="40"/>
      <c r="N6" s="40"/>
      <c r="O6" s="40"/>
      <c r="P6" s="40"/>
      <c r="Q6" s="40"/>
      <c r="R6" s="40"/>
      <c r="S6" s="40"/>
      <c r="T6" s="40"/>
      <c r="U6" s="40"/>
      <c r="V6" s="40"/>
      <c r="W6" s="40"/>
      <c r="X6" s="40"/>
      <c r="Y6" s="40"/>
      <c r="Z6" s="40"/>
    </row>
    <row r="7" spans="2:26" x14ac:dyDescent="0.2">
      <c r="B7" s="41"/>
      <c r="C7" s="40"/>
      <c r="D7" s="40"/>
      <c r="E7" s="40"/>
      <c r="F7" s="40"/>
      <c r="G7" s="40"/>
      <c r="H7" s="40"/>
      <c r="I7" s="40"/>
      <c r="J7" s="40"/>
      <c r="K7" s="40"/>
      <c r="L7" s="40"/>
      <c r="M7" s="40"/>
      <c r="N7" s="40"/>
      <c r="O7" s="40"/>
      <c r="P7" s="40"/>
      <c r="Q7" s="40"/>
      <c r="R7" s="40"/>
      <c r="S7" s="40"/>
      <c r="T7" s="40"/>
      <c r="U7" s="40"/>
      <c r="V7" s="40"/>
      <c r="W7" s="40"/>
      <c r="X7" s="40"/>
      <c r="Y7" s="40"/>
      <c r="Z7" s="40"/>
    </row>
    <row r="8" spans="2:26" x14ac:dyDescent="0.2">
      <c r="B8" s="49" t="s">
        <v>169</v>
      </c>
      <c r="C8" s="40"/>
      <c r="D8" s="40"/>
      <c r="E8" s="143">
        <f>Projekts!D4</f>
        <v>2028</v>
      </c>
      <c r="F8" s="143">
        <f>Projekts!E4</f>
        <v>2029</v>
      </c>
      <c r="G8" s="143">
        <f>Projekts!F4</f>
        <v>2030</v>
      </c>
      <c r="H8" s="143">
        <f>Projekts!G4</f>
        <v>2031</v>
      </c>
      <c r="I8" s="143">
        <f>Projekts!H4</f>
        <v>2032</v>
      </c>
      <c r="J8" s="143">
        <f>Projekts!I4</f>
        <v>2033</v>
      </c>
      <c r="K8" s="143">
        <f>Projekts!J4</f>
        <v>2034</v>
      </c>
      <c r="L8" s="143">
        <f>Projekts!K4</f>
        <v>2035</v>
      </c>
      <c r="M8" s="143">
        <f>Projekts!L4</f>
        <v>2036</v>
      </c>
      <c r="N8" s="143">
        <f>Projekts!M4</f>
        <v>2037</v>
      </c>
      <c r="O8" s="60"/>
      <c r="P8" s="40"/>
      <c r="Q8" s="40" t="s">
        <v>191</v>
      </c>
      <c r="R8" s="40"/>
      <c r="S8" s="40"/>
      <c r="T8" s="40"/>
      <c r="U8" s="40"/>
      <c r="V8" s="40"/>
      <c r="W8" s="40"/>
      <c r="X8" s="40"/>
      <c r="Y8" s="40"/>
      <c r="Z8" s="40"/>
    </row>
    <row r="9" spans="2:26" x14ac:dyDescent="0.2">
      <c r="B9" s="49" t="s">
        <v>168</v>
      </c>
      <c r="C9" s="40"/>
      <c r="D9" s="40"/>
      <c r="E9" s="144">
        <f>Projekts!D6</f>
        <v>0</v>
      </c>
      <c r="F9" s="144">
        <f>Projekts!E6</f>
        <v>1</v>
      </c>
      <c r="G9" s="144">
        <f>Projekts!F6</f>
        <v>2</v>
      </c>
      <c r="H9" s="144">
        <f>Projekts!G6</f>
        <v>3</v>
      </c>
      <c r="I9" s="144">
        <f>Projekts!H6</f>
        <v>4</v>
      </c>
      <c r="J9" s="144">
        <f>Projekts!I6</f>
        <v>5</v>
      </c>
      <c r="K9" s="144">
        <f>Projekts!J6</f>
        <v>6</v>
      </c>
      <c r="L9" s="144">
        <f>Projekts!K6</f>
        <v>7</v>
      </c>
      <c r="M9" s="144">
        <f>Projekts!L6</f>
        <v>8</v>
      </c>
      <c r="N9" s="144">
        <f>Projekts!M6</f>
        <v>9</v>
      </c>
      <c r="O9" s="56" t="s">
        <v>111</v>
      </c>
      <c r="P9" s="40"/>
      <c r="Q9" s="40">
        <f>COUNTA(E9:O9)</f>
        <v>11</v>
      </c>
      <c r="R9" s="40"/>
      <c r="S9" s="40"/>
      <c r="T9" s="40"/>
      <c r="U9" s="40"/>
      <c r="V9" s="40"/>
      <c r="W9" s="40"/>
      <c r="X9" s="40"/>
      <c r="Y9" s="40"/>
      <c r="Z9" s="40"/>
    </row>
    <row r="10" spans="2:26" x14ac:dyDescent="0.2">
      <c r="B10" s="49" t="s">
        <v>147</v>
      </c>
      <c r="C10" s="40"/>
      <c r="D10" s="40"/>
      <c r="E10" s="145">
        <f>Projekts!D10</f>
        <v>2.4E-2</v>
      </c>
      <c r="F10" s="145">
        <f>Projekts!E10</f>
        <v>0.02</v>
      </c>
      <c r="G10" s="145">
        <f>Projekts!F10</f>
        <v>0.02</v>
      </c>
      <c r="H10" s="145">
        <f>Projekts!G10</f>
        <v>0.02</v>
      </c>
      <c r="I10" s="145">
        <f>Projekts!H10</f>
        <v>0.02</v>
      </c>
      <c r="J10" s="145">
        <f>Projekts!I10</f>
        <v>0.02</v>
      </c>
      <c r="K10" s="145">
        <f>Projekts!J10</f>
        <v>0.02</v>
      </c>
      <c r="L10" s="145">
        <f>Projekts!K10</f>
        <v>0.02</v>
      </c>
      <c r="M10" s="145">
        <f>Projekts!L10</f>
        <v>0.02</v>
      </c>
      <c r="N10" s="145">
        <f>Projekts!M10</f>
        <v>0.02</v>
      </c>
      <c r="O10" s="61">
        <f>Projekts!X10</f>
        <v>0.02</v>
      </c>
      <c r="P10" s="40"/>
      <c r="Q10" s="40"/>
      <c r="R10" s="40"/>
      <c r="S10" s="40"/>
      <c r="T10" s="40"/>
      <c r="U10" s="40"/>
      <c r="V10" s="40"/>
      <c r="W10" s="40"/>
      <c r="X10" s="40"/>
      <c r="Y10" s="40"/>
      <c r="Z10" s="40"/>
    </row>
    <row r="11" spans="2:26" x14ac:dyDescent="0.2">
      <c r="B11" s="35"/>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2:26" x14ac:dyDescent="0.2">
      <c r="B12" s="42" t="s">
        <v>148</v>
      </c>
      <c r="C12" s="40"/>
      <c r="D12" s="44" t="s">
        <v>160</v>
      </c>
      <c r="E12" s="40"/>
      <c r="F12" s="40"/>
      <c r="G12" s="40"/>
      <c r="H12" s="40"/>
      <c r="I12" s="40"/>
      <c r="J12" s="40"/>
      <c r="K12" s="40"/>
      <c r="L12" s="40"/>
      <c r="M12" s="40"/>
      <c r="N12" s="40"/>
      <c r="O12" s="40"/>
      <c r="P12" s="40"/>
      <c r="Q12" s="40"/>
      <c r="R12" s="40"/>
      <c r="S12" s="40"/>
      <c r="T12" s="40"/>
      <c r="U12" s="40"/>
      <c r="V12" s="40"/>
      <c r="W12" s="40"/>
      <c r="X12" s="40"/>
      <c r="Y12" s="40"/>
      <c r="Z12" s="40"/>
    </row>
    <row r="13" spans="2:26" x14ac:dyDescent="0.2">
      <c r="B13" s="57" t="s">
        <v>149</v>
      </c>
      <c r="C13" s="40"/>
      <c r="D13" s="44"/>
      <c r="E13" s="50">
        <f>SUM(E14:E17)</f>
        <v>0</v>
      </c>
      <c r="F13" s="50">
        <f t="shared" ref="F13:O13" si="0">SUM(F14:F17)</f>
        <v>0</v>
      </c>
      <c r="G13" s="50">
        <f t="shared" si="0"/>
        <v>0</v>
      </c>
      <c r="H13" s="50">
        <f t="shared" si="0"/>
        <v>0</v>
      </c>
      <c r="I13" s="50">
        <f t="shared" si="0"/>
        <v>0</v>
      </c>
      <c r="J13" s="50">
        <f t="shared" si="0"/>
        <v>0</v>
      </c>
      <c r="K13" s="50">
        <f t="shared" si="0"/>
        <v>0</v>
      </c>
      <c r="L13" s="50">
        <f t="shared" si="0"/>
        <v>0</v>
      </c>
      <c r="M13" s="50">
        <f t="shared" si="0"/>
        <v>0</v>
      </c>
      <c r="N13" s="50">
        <f t="shared" si="0"/>
        <v>0</v>
      </c>
      <c r="O13" s="50">
        <f t="shared" si="0"/>
        <v>0</v>
      </c>
      <c r="P13" s="45"/>
      <c r="Q13" s="50">
        <f>SUM(E13:O13)</f>
        <v>0</v>
      </c>
      <c r="R13" s="40"/>
      <c r="S13" s="40"/>
      <c r="T13" s="40"/>
      <c r="U13" s="40"/>
      <c r="V13" s="40"/>
      <c r="W13" s="40"/>
      <c r="X13" s="40"/>
      <c r="Y13" s="40"/>
      <c r="Z13" s="40"/>
    </row>
    <row r="14" spans="2:26" x14ac:dyDescent="0.2">
      <c r="B14" s="76" t="s">
        <v>177</v>
      </c>
      <c r="C14" s="40"/>
      <c r="D14" s="44" t="s">
        <v>161</v>
      </c>
      <c r="E14" s="65"/>
      <c r="F14" s="65"/>
      <c r="G14" s="65"/>
      <c r="H14" s="65"/>
      <c r="I14" s="65"/>
      <c r="J14" s="65"/>
      <c r="K14" s="65"/>
      <c r="L14" s="65"/>
      <c r="M14" s="65"/>
      <c r="N14" s="65"/>
      <c r="O14" s="65"/>
      <c r="P14" s="45"/>
      <c r="Q14" s="50">
        <f t="shared" ref="Q14:Q56" si="1">SUM(E14:O14)</f>
        <v>0</v>
      </c>
      <c r="R14" s="40"/>
      <c r="S14" s="40"/>
      <c r="T14" s="40"/>
      <c r="U14" s="40"/>
      <c r="V14" s="40"/>
      <c r="W14" s="40"/>
      <c r="X14" s="40"/>
      <c r="Y14" s="40"/>
      <c r="Z14" s="40"/>
    </row>
    <row r="15" spans="2:26" x14ac:dyDescent="0.2">
      <c r="B15" s="76" t="s">
        <v>178</v>
      </c>
      <c r="C15" s="40"/>
      <c r="D15" s="44" t="s">
        <v>161</v>
      </c>
      <c r="E15" s="65"/>
      <c r="F15" s="65"/>
      <c r="G15" s="65"/>
      <c r="H15" s="65"/>
      <c r="I15" s="65"/>
      <c r="J15" s="65"/>
      <c r="K15" s="65"/>
      <c r="L15" s="65"/>
      <c r="M15" s="65"/>
      <c r="N15" s="65"/>
      <c r="O15" s="65"/>
      <c r="P15" s="45"/>
      <c r="Q15" s="50">
        <f t="shared" si="1"/>
        <v>0</v>
      </c>
      <c r="R15" s="40"/>
      <c r="S15" s="40"/>
      <c r="T15" s="40"/>
      <c r="U15" s="40"/>
      <c r="V15" s="40"/>
      <c r="W15" s="40"/>
      <c r="X15" s="40"/>
      <c r="Y15" s="40"/>
      <c r="Z15" s="40"/>
    </row>
    <row r="16" spans="2:26" x14ac:dyDescent="0.2">
      <c r="B16" s="76" t="s">
        <v>179</v>
      </c>
      <c r="C16" s="40"/>
      <c r="D16" s="44" t="s">
        <v>161</v>
      </c>
      <c r="E16" s="65"/>
      <c r="F16" s="65"/>
      <c r="G16" s="65"/>
      <c r="H16" s="65"/>
      <c r="I16" s="65"/>
      <c r="J16" s="65"/>
      <c r="K16" s="65"/>
      <c r="L16" s="65"/>
      <c r="M16" s="65"/>
      <c r="N16" s="65"/>
      <c r="O16" s="65"/>
      <c r="P16" s="45"/>
      <c r="Q16" s="50">
        <f t="shared" si="1"/>
        <v>0</v>
      </c>
      <c r="R16" s="40"/>
      <c r="S16" s="40"/>
      <c r="T16" s="40"/>
      <c r="U16" s="40"/>
      <c r="V16" s="40"/>
      <c r="W16" s="40"/>
      <c r="X16" s="40"/>
      <c r="Y16" s="40"/>
      <c r="Z16" s="40"/>
    </row>
    <row r="17" spans="2:26" x14ac:dyDescent="0.2">
      <c r="B17" s="76" t="s">
        <v>111</v>
      </c>
      <c r="C17" s="40"/>
      <c r="D17" s="44" t="s">
        <v>161</v>
      </c>
      <c r="E17" s="65"/>
      <c r="F17" s="65"/>
      <c r="G17" s="65"/>
      <c r="H17" s="65"/>
      <c r="I17" s="65"/>
      <c r="J17" s="65"/>
      <c r="K17" s="65"/>
      <c r="L17" s="65"/>
      <c r="M17" s="65"/>
      <c r="N17" s="65"/>
      <c r="O17" s="65"/>
      <c r="P17" s="45"/>
      <c r="Q17" s="50">
        <f t="shared" si="1"/>
        <v>0</v>
      </c>
      <c r="R17" s="40"/>
      <c r="S17" s="40"/>
      <c r="T17" s="40"/>
      <c r="U17" s="40"/>
      <c r="V17" s="40"/>
      <c r="W17" s="40"/>
      <c r="X17" s="40"/>
      <c r="Y17" s="40"/>
      <c r="Z17" s="40"/>
    </row>
    <row r="18" spans="2:26" x14ac:dyDescent="0.2">
      <c r="B18" s="35"/>
      <c r="C18" s="40"/>
      <c r="D18" s="44"/>
      <c r="E18" s="45"/>
      <c r="F18" s="45"/>
      <c r="G18" s="45"/>
      <c r="H18" s="45"/>
      <c r="I18" s="45"/>
      <c r="J18" s="45"/>
      <c r="K18" s="45"/>
      <c r="L18" s="45"/>
      <c r="M18" s="45"/>
      <c r="N18" s="45"/>
      <c r="O18" s="45"/>
      <c r="P18" s="45"/>
      <c r="Q18" s="45"/>
      <c r="R18" s="40"/>
      <c r="S18" s="40"/>
      <c r="T18" s="40"/>
      <c r="U18" s="40"/>
      <c r="V18" s="40"/>
      <c r="W18" s="40"/>
      <c r="X18" s="40"/>
      <c r="Y18" s="40"/>
      <c r="Z18" s="40"/>
    </row>
    <row r="19" spans="2:26" x14ac:dyDescent="0.2">
      <c r="B19" s="57" t="s">
        <v>150</v>
      </c>
      <c r="C19" s="40"/>
      <c r="D19" s="44"/>
      <c r="E19" s="50">
        <f>E20+E25</f>
        <v>0</v>
      </c>
      <c r="F19" s="50">
        <f t="shared" ref="F19:O19" si="2">F20+F25</f>
        <v>0</v>
      </c>
      <c r="G19" s="50">
        <f t="shared" si="2"/>
        <v>0</v>
      </c>
      <c r="H19" s="50">
        <f t="shared" si="2"/>
        <v>0</v>
      </c>
      <c r="I19" s="50">
        <f t="shared" si="2"/>
        <v>0</v>
      </c>
      <c r="J19" s="50">
        <f t="shared" si="2"/>
        <v>0</v>
      </c>
      <c r="K19" s="50">
        <f t="shared" si="2"/>
        <v>0</v>
      </c>
      <c r="L19" s="50">
        <f t="shared" si="2"/>
        <v>0</v>
      </c>
      <c r="M19" s="50">
        <f t="shared" si="2"/>
        <v>0</v>
      </c>
      <c r="N19" s="50">
        <f t="shared" si="2"/>
        <v>0</v>
      </c>
      <c r="O19" s="50">
        <f t="shared" si="2"/>
        <v>0</v>
      </c>
      <c r="P19" s="45"/>
      <c r="Q19" s="50">
        <f t="shared" si="1"/>
        <v>0</v>
      </c>
      <c r="R19" s="40"/>
      <c r="S19" s="40"/>
      <c r="T19" s="40"/>
      <c r="U19" s="40"/>
      <c r="V19" s="40"/>
      <c r="W19" s="40"/>
      <c r="X19" s="40"/>
      <c r="Y19" s="40"/>
      <c r="Z19" s="40"/>
    </row>
    <row r="20" spans="2:26" x14ac:dyDescent="0.2">
      <c r="B20" s="77" t="s">
        <v>151</v>
      </c>
      <c r="C20" s="40"/>
      <c r="D20" s="44"/>
      <c r="E20" s="50">
        <f>SUM(E21:E24)</f>
        <v>0</v>
      </c>
      <c r="F20" s="50">
        <f t="shared" ref="F20:O20" si="3">SUM(F21:F24)</f>
        <v>0</v>
      </c>
      <c r="G20" s="50">
        <f t="shared" si="3"/>
        <v>0</v>
      </c>
      <c r="H20" s="50">
        <f t="shared" si="3"/>
        <v>0</v>
      </c>
      <c r="I20" s="50">
        <f t="shared" si="3"/>
        <v>0</v>
      </c>
      <c r="J20" s="50">
        <f t="shared" si="3"/>
        <v>0</v>
      </c>
      <c r="K20" s="50">
        <f t="shared" si="3"/>
        <v>0</v>
      </c>
      <c r="L20" s="50">
        <f t="shared" si="3"/>
        <v>0</v>
      </c>
      <c r="M20" s="50">
        <f t="shared" si="3"/>
        <v>0</v>
      </c>
      <c r="N20" s="50">
        <f t="shared" si="3"/>
        <v>0</v>
      </c>
      <c r="O20" s="50">
        <f t="shared" si="3"/>
        <v>0</v>
      </c>
      <c r="P20" s="45"/>
      <c r="Q20" s="50">
        <f t="shared" si="1"/>
        <v>0</v>
      </c>
      <c r="R20" s="40"/>
      <c r="S20" s="40"/>
      <c r="T20" s="40"/>
      <c r="U20" s="40"/>
      <c r="V20" s="40"/>
      <c r="W20" s="40"/>
      <c r="X20" s="40"/>
      <c r="Y20" s="40"/>
      <c r="Z20" s="40"/>
    </row>
    <row r="21" spans="2:26" x14ac:dyDescent="0.2">
      <c r="B21" s="76" t="s">
        <v>180</v>
      </c>
      <c r="C21" s="40"/>
      <c r="D21" s="44" t="s">
        <v>161</v>
      </c>
      <c r="E21" s="65"/>
      <c r="F21" s="65"/>
      <c r="G21" s="65"/>
      <c r="H21" s="65"/>
      <c r="I21" s="65"/>
      <c r="J21" s="65"/>
      <c r="K21" s="65"/>
      <c r="L21" s="65"/>
      <c r="M21" s="65"/>
      <c r="N21" s="65"/>
      <c r="O21" s="65"/>
      <c r="P21" s="45"/>
      <c r="Q21" s="50">
        <f t="shared" si="1"/>
        <v>0</v>
      </c>
      <c r="R21" s="40"/>
      <c r="S21" s="40"/>
      <c r="T21" s="40"/>
      <c r="U21" s="40"/>
      <c r="V21" s="40"/>
      <c r="W21" s="40"/>
      <c r="X21" s="40"/>
      <c r="Y21" s="40"/>
      <c r="Z21" s="40"/>
    </row>
    <row r="22" spans="2:26" x14ac:dyDescent="0.2">
      <c r="B22" s="76" t="s">
        <v>181</v>
      </c>
      <c r="C22" s="40"/>
      <c r="D22" s="44" t="s">
        <v>161</v>
      </c>
      <c r="E22" s="65"/>
      <c r="F22" s="65"/>
      <c r="G22" s="65"/>
      <c r="H22" s="65"/>
      <c r="I22" s="65"/>
      <c r="J22" s="65"/>
      <c r="K22" s="65"/>
      <c r="L22" s="65"/>
      <c r="M22" s="65"/>
      <c r="N22" s="65"/>
      <c r="O22" s="65"/>
      <c r="P22" s="45"/>
      <c r="Q22" s="50">
        <f t="shared" si="1"/>
        <v>0</v>
      </c>
      <c r="R22" s="40"/>
      <c r="S22" s="40"/>
      <c r="T22" s="40"/>
      <c r="U22" s="40"/>
      <c r="V22" s="40"/>
      <c r="W22" s="40"/>
      <c r="X22" s="40"/>
      <c r="Y22" s="40"/>
      <c r="Z22" s="40"/>
    </row>
    <row r="23" spans="2:26" x14ac:dyDescent="0.2">
      <c r="B23" s="76" t="s">
        <v>182</v>
      </c>
      <c r="C23" s="40"/>
      <c r="D23" s="44" t="s">
        <v>161</v>
      </c>
      <c r="E23" s="65"/>
      <c r="F23" s="65"/>
      <c r="G23" s="65"/>
      <c r="H23" s="65"/>
      <c r="I23" s="65"/>
      <c r="J23" s="65"/>
      <c r="K23" s="65"/>
      <c r="L23" s="65"/>
      <c r="M23" s="65"/>
      <c r="N23" s="65"/>
      <c r="O23" s="65"/>
      <c r="P23" s="45"/>
      <c r="Q23" s="50">
        <f t="shared" si="1"/>
        <v>0</v>
      </c>
      <c r="R23" s="40"/>
      <c r="S23" s="40"/>
      <c r="T23" s="40"/>
      <c r="U23" s="40"/>
      <c r="V23" s="40"/>
      <c r="W23" s="40"/>
      <c r="X23" s="40"/>
      <c r="Y23" s="40"/>
      <c r="Z23" s="40"/>
    </row>
    <row r="24" spans="2:26" x14ac:dyDescent="0.2">
      <c r="B24" s="76" t="s">
        <v>111</v>
      </c>
      <c r="C24" s="40"/>
      <c r="D24" s="44" t="s">
        <v>161</v>
      </c>
      <c r="E24" s="65"/>
      <c r="F24" s="65"/>
      <c r="G24" s="65"/>
      <c r="H24" s="65"/>
      <c r="I24" s="65"/>
      <c r="J24" s="65"/>
      <c r="K24" s="65"/>
      <c r="L24" s="65"/>
      <c r="M24" s="65"/>
      <c r="N24" s="65"/>
      <c r="O24" s="65"/>
      <c r="P24" s="45"/>
      <c r="Q24" s="50">
        <f t="shared" si="1"/>
        <v>0</v>
      </c>
      <c r="R24" s="40"/>
      <c r="S24" s="40"/>
      <c r="T24" s="40"/>
      <c r="U24" s="40"/>
      <c r="V24" s="40"/>
      <c r="W24" s="40"/>
      <c r="X24" s="40"/>
      <c r="Y24" s="40"/>
      <c r="Z24" s="40"/>
    </row>
    <row r="25" spans="2:26" x14ac:dyDescent="0.2">
      <c r="B25" s="77" t="s">
        <v>152</v>
      </c>
      <c r="C25" s="40"/>
      <c r="D25" s="44"/>
      <c r="E25" s="50">
        <f>SUM(E26:E29)</f>
        <v>0</v>
      </c>
      <c r="F25" s="50">
        <f t="shared" ref="F25:O25" si="4">SUM(F26:F29)</f>
        <v>0</v>
      </c>
      <c r="G25" s="50">
        <f t="shared" si="4"/>
        <v>0</v>
      </c>
      <c r="H25" s="50">
        <f t="shared" si="4"/>
        <v>0</v>
      </c>
      <c r="I25" s="50">
        <f t="shared" si="4"/>
        <v>0</v>
      </c>
      <c r="J25" s="50">
        <f t="shared" si="4"/>
        <v>0</v>
      </c>
      <c r="K25" s="50">
        <f t="shared" si="4"/>
        <v>0</v>
      </c>
      <c r="L25" s="50">
        <f t="shared" si="4"/>
        <v>0</v>
      </c>
      <c r="M25" s="50">
        <f t="shared" si="4"/>
        <v>0</v>
      </c>
      <c r="N25" s="50">
        <f t="shared" si="4"/>
        <v>0</v>
      </c>
      <c r="O25" s="50">
        <f t="shared" si="4"/>
        <v>0</v>
      </c>
      <c r="P25" s="45"/>
      <c r="Q25" s="50">
        <f t="shared" si="1"/>
        <v>0</v>
      </c>
      <c r="R25" s="40"/>
      <c r="S25" s="40"/>
      <c r="T25" s="40"/>
      <c r="U25" s="40"/>
      <c r="V25" s="40"/>
      <c r="W25" s="40"/>
      <c r="X25" s="40"/>
      <c r="Y25" s="40"/>
      <c r="Z25" s="40"/>
    </row>
    <row r="26" spans="2:26" x14ac:dyDescent="0.2">
      <c r="B26" s="76" t="s">
        <v>183</v>
      </c>
      <c r="C26" s="40"/>
      <c r="D26" s="44" t="s">
        <v>161</v>
      </c>
      <c r="E26" s="65"/>
      <c r="F26" s="65"/>
      <c r="G26" s="65"/>
      <c r="H26" s="65"/>
      <c r="I26" s="65"/>
      <c r="J26" s="65"/>
      <c r="K26" s="65"/>
      <c r="L26" s="65"/>
      <c r="M26" s="65"/>
      <c r="N26" s="65"/>
      <c r="O26" s="65"/>
      <c r="P26" s="45"/>
      <c r="Q26" s="50">
        <f t="shared" si="1"/>
        <v>0</v>
      </c>
      <c r="R26" s="40"/>
      <c r="S26" s="40"/>
      <c r="T26" s="40"/>
      <c r="U26" s="40"/>
      <c r="V26" s="40"/>
      <c r="W26" s="40"/>
      <c r="X26" s="40"/>
      <c r="Y26" s="40"/>
      <c r="Z26" s="40"/>
    </row>
    <row r="27" spans="2:26" x14ac:dyDescent="0.2">
      <c r="B27" s="76" t="s">
        <v>184</v>
      </c>
      <c r="C27" s="40"/>
      <c r="D27" s="44" t="s">
        <v>161</v>
      </c>
      <c r="E27" s="65"/>
      <c r="F27" s="65"/>
      <c r="G27" s="65"/>
      <c r="H27" s="65"/>
      <c r="I27" s="65"/>
      <c r="J27" s="65"/>
      <c r="K27" s="65"/>
      <c r="L27" s="65"/>
      <c r="M27" s="65"/>
      <c r="N27" s="65"/>
      <c r="O27" s="65"/>
      <c r="P27" s="45"/>
      <c r="Q27" s="50">
        <f t="shared" si="1"/>
        <v>0</v>
      </c>
      <c r="R27" s="40"/>
      <c r="S27" s="40"/>
      <c r="T27" s="40"/>
      <c r="U27" s="40"/>
      <c r="V27" s="40"/>
      <c r="W27" s="40"/>
      <c r="X27" s="40"/>
      <c r="Y27" s="40"/>
      <c r="Z27" s="40"/>
    </row>
    <row r="28" spans="2:26" x14ac:dyDescent="0.2">
      <c r="B28" s="76" t="s">
        <v>185</v>
      </c>
      <c r="C28" s="40"/>
      <c r="D28" s="44" t="s">
        <v>161</v>
      </c>
      <c r="E28" s="65"/>
      <c r="F28" s="65"/>
      <c r="G28" s="65"/>
      <c r="H28" s="65"/>
      <c r="I28" s="65"/>
      <c r="J28" s="65"/>
      <c r="K28" s="65"/>
      <c r="L28" s="65"/>
      <c r="M28" s="65"/>
      <c r="N28" s="65"/>
      <c r="O28" s="65"/>
      <c r="P28" s="45"/>
      <c r="Q28" s="50">
        <f t="shared" si="1"/>
        <v>0</v>
      </c>
      <c r="R28" s="40"/>
      <c r="S28" s="40"/>
      <c r="T28" s="40"/>
      <c r="U28" s="40"/>
      <c r="V28" s="40"/>
      <c r="W28" s="40"/>
      <c r="X28" s="40"/>
      <c r="Y28" s="40"/>
      <c r="Z28" s="40"/>
    </row>
    <row r="29" spans="2:26" x14ac:dyDescent="0.2">
      <c r="B29" s="76" t="s">
        <v>111</v>
      </c>
      <c r="C29" s="40"/>
      <c r="D29" s="44" t="s">
        <v>161</v>
      </c>
      <c r="E29" s="65"/>
      <c r="F29" s="65"/>
      <c r="G29" s="65"/>
      <c r="H29" s="65"/>
      <c r="I29" s="65"/>
      <c r="J29" s="65"/>
      <c r="K29" s="65"/>
      <c r="L29" s="65"/>
      <c r="M29" s="65"/>
      <c r="N29" s="65"/>
      <c r="O29" s="65"/>
      <c r="P29" s="45"/>
      <c r="Q29" s="50">
        <f t="shared" si="1"/>
        <v>0</v>
      </c>
      <c r="R29" s="40"/>
      <c r="S29" s="40"/>
      <c r="T29" s="40"/>
      <c r="U29" s="40"/>
      <c r="V29" s="40"/>
      <c r="W29" s="40"/>
      <c r="X29" s="40"/>
      <c r="Y29" s="40"/>
      <c r="Z29" s="40"/>
    </row>
    <row r="30" spans="2:26" x14ac:dyDescent="0.2">
      <c r="B30" s="48"/>
      <c r="C30" s="40"/>
      <c r="D30" s="44"/>
      <c r="E30" s="45"/>
      <c r="F30" s="45"/>
      <c r="G30" s="45"/>
      <c r="H30" s="45"/>
      <c r="I30" s="45"/>
      <c r="J30" s="45"/>
      <c r="K30" s="45"/>
      <c r="L30" s="45"/>
      <c r="M30" s="45"/>
      <c r="N30" s="45"/>
      <c r="O30" s="45"/>
      <c r="P30" s="45"/>
      <c r="Q30" s="45"/>
      <c r="R30" s="40"/>
      <c r="S30" s="40"/>
      <c r="T30" s="40"/>
      <c r="U30" s="40"/>
      <c r="V30" s="40"/>
      <c r="W30" s="40"/>
      <c r="X30" s="40"/>
      <c r="Y30" s="40"/>
      <c r="Z30" s="40"/>
    </row>
    <row r="31" spans="2:26" x14ac:dyDescent="0.2">
      <c r="B31" s="57" t="s">
        <v>153</v>
      </c>
      <c r="C31" s="40"/>
      <c r="D31" s="44"/>
      <c r="E31" s="50">
        <f>SUM(E32:E35)</f>
        <v>0</v>
      </c>
      <c r="F31" s="50">
        <f t="shared" ref="F31:O31" si="5">SUM(F32:F35)</f>
        <v>0</v>
      </c>
      <c r="G31" s="50">
        <f t="shared" si="5"/>
        <v>0</v>
      </c>
      <c r="H31" s="50">
        <f t="shared" si="5"/>
        <v>0</v>
      </c>
      <c r="I31" s="50">
        <f t="shared" si="5"/>
        <v>0</v>
      </c>
      <c r="J31" s="50">
        <f t="shared" si="5"/>
        <v>0</v>
      </c>
      <c r="K31" s="50">
        <f t="shared" si="5"/>
        <v>0</v>
      </c>
      <c r="L31" s="50">
        <f t="shared" si="5"/>
        <v>0</v>
      </c>
      <c r="M31" s="50">
        <f t="shared" si="5"/>
        <v>0</v>
      </c>
      <c r="N31" s="50">
        <f t="shared" si="5"/>
        <v>0</v>
      </c>
      <c r="O31" s="50">
        <f t="shared" si="5"/>
        <v>0</v>
      </c>
      <c r="P31" s="45"/>
      <c r="Q31" s="50">
        <f t="shared" si="1"/>
        <v>0</v>
      </c>
      <c r="R31" s="40"/>
      <c r="S31" s="40"/>
      <c r="T31" s="40"/>
      <c r="U31" s="40"/>
      <c r="V31" s="40"/>
      <c r="W31" s="40"/>
      <c r="X31" s="40"/>
      <c r="Y31" s="40"/>
      <c r="Z31" s="40"/>
    </row>
    <row r="32" spans="2:26" x14ac:dyDescent="0.2">
      <c r="B32" s="76" t="s">
        <v>154</v>
      </c>
      <c r="C32" s="40"/>
      <c r="D32" s="44" t="s">
        <v>162</v>
      </c>
      <c r="E32" s="65"/>
      <c r="F32" s="65"/>
      <c r="G32" s="65"/>
      <c r="H32" s="65"/>
      <c r="I32" s="65"/>
      <c r="J32" s="65"/>
      <c r="K32" s="65"/>
      <c r="L32" s="65"/>
      <c r="M32" s="65"/>
      <c r="N32" s="65"/>
      <c r="O32" s="65"/>
      <c r="P32" s="45"/>
      <c r="Q32" s="50">
        <f t="shared" si="1"/>
        <v>0</v>
      </c>
      <c r="R32" s="40"/>
      <c r="S32" s="40"/>
      <c r="T32" s="40"/>
      <c r="U32" s="40"/>
      <c r="V32" s="40"/>
      <c r="W32" s="40"/>
      <c r="X32" s="40"/>
      <c r="Y32" s="40"/>
      <c r="Z32" s="40"/>
    </row>
    <row r="33" spans="2:26" x14ac:dyDescent="0.2">
      <c r="B33" s="76" t="s">
        <v>155</v>
      </c>
      <c r="C33" s="40"/>
      <c r="D33" s="44" t="s">
        <v>162</v>
      </c>
      <c r="E33" s="65"/>
      <c r="F33" s="65"/>
      <c r="G33" s="65"/>
      <c r="H33" s="65"/>
      <c r="I33" s="65"/>
      <c r="J33" s="65"/>
      <c r="K33" s="65"/>
      <c r="L33" s="65"/>
      <c r="M33" s="65"/>
      <c r="N33" s="65"/>
      <c r="O33" s="65"/>
      <c r="P33" s="45"/>
      <c r="Q33" s="50">
        <f t="shared" si="1"/>
        <v>0</v>
      </c>
      <c r="R33" s="40"/>
      <c r="S33" s="40"/>
      <c r="T33" s="40"/>
      <c r="U33" s="40"/>
      <c r="V33" s="40"/>
      <c r="W33" s="40"/>
      <c r="X33" s="40"/>
      <c r="Y33" s="40"/>
      <c r="Z33" s="40"/>
    </row>
    <row r="34" spans="2:26" x14ac:dyDescent="0.2">
      <c r="B34" s="76" t="s">
        <v>156</v>
      </c>
      <c r="C34" s="40"/>
      <c r="D34" s="44" t="s">
        <v>162</v>
      </c>
      <c r="E34" s="65"/>
      <c r="F34" s="65"/>
      <c r="G34" s="65"/>
      <c r="H34" s="65"/>
      <c r="I34" s="65"/>
      <c r="J34" s="65"/>
      <c r="K34" s="65"/>
      <c r="L34" s="65"/>
      <c r="M34" s="65"/>
      <c r="N34" s="65"/>
      <c r="O34" s="65"/>
      <c r="P34" s="45"/>
      <c r="Q34" s="50">
        <f t="shared" si="1"/>
        <v>0</v>
      </c>
      <c r="R34" s="40"/>
      <c r="S34" s="40"/>
      <c r="T34" s="40"/>
      <c r="U34" s="40"/>
      <c r="V34" s="40"/>
      <c r="W34" s="40"/>
      <c r="X34" s="40"/>
      <c r="Y34" s="40"/>
      <c r="Z34" s="40"/>
    </row>
    <row r="35" spans="2:26" x14ac:dyDescent="0.2">
      <c r="B35" s="76" t="s">
        <v>111</v>
      </c>
      <c r="C35" s="40"/>
      <c r="D35" s="44" t="s">
        <v>162</v>
      </c>
      <c r="E35" s="65"/>
      <c r="F35" s="65"/>
      <c r="G35" s="65"/>
      <c r="H35" s="65"/>
      <c r="I35" s="65"/>
      <c r="J35" s="65"/>
      <c r="K35" s="65"/>
      <c r="L35" s="65"/>
      <c r="M35" s="65"/>
      <c r="N35" s="65"/>
      <c r="O35" s="65"/>
      <c r="P35" s="45"/>
      <c r="Q35" s="50">
        <f t="shared" si="1"/>
        <v>0</v>
      </c>
      <c r="R35" s="40"/>
      <c r="S35" s="40"/>
      <c r="T35" s="40"/>
      <c r="U35" s="40"/>
      <c r="V35" s="40"/>
      <c r="W35" s="40"/>
      <c r="X35" s="40"/>
      <c r="Y35" s="40"/>
      <c r="Z35" s="40"/>
    </row>
    <row r="36" spans="2:26" x14ac:dyDescent="0.2">
      <c r="B36" s="35"/>
      <c r="C36" s="40"/>
      <c r="D36" s="40"/>
      <c r="E36" s="45"/>
      <c r="F36" s="45"/>
      <c r="G36" s="45"/>
      <c r="H36" s="45"/>
      <c r="I36" s="45"/>
      <c r="J36" s="45"/>
      <c r="K36" s="45"/>
      <c r="L36" s="45"/>
      <c r="M36" s="45"/>
      <c r="N36" s="45"/>
      <c r="O36" s="45"/>
      <c r="P36" s="45"/>
      <c r="Q36" s="45"/>
      <c r="R36" s="40"/>
      <c r="S36" s="40"/>
      <c r="T36" s="40"/>
      <c r="U36" s="40"/>
      <c r="V36" s="40"/>
      <c r="W36" s="40"/>
      <c r="X36" s="40"/>
      <c r="Y36" s="40"/>
      <c r="Z36" s="40"/>
    </row>
    <row r="37" spans="2:26" x14ac:dyDescent="0.2">
      <c r="B37" s="57" t="s">
        <v>148</v>
      </c>
      <c r="C37" s="40"/>
      <c r="D37" s="40"/>
      <c r="E37" s="50">
        <f>E13+E19+E31</f>
        <v>0</v>
      </c>
      <c r="F37" s="50">
        <f t="shared" ref="F37:O37" si="6">F13+F19+F31</f>
        <v>0</v>
      </c>
      <c r="G37" s="50">
        <f t="shared" si="6"/>
        <v>0</v>
      </c>
      <c r="H37" s="50">
        <f t="shared" si="6"/>
        <v>0</v>
      </c>
      <c r="I37" s="50">
        <f t="shared" si="6"/>
        <v>0</v>
      </c>
      <c r="J37" s="50">
        <f t="shared" si="6"/>
        <v>0</v>
      </c>
      <c r="K37" s="50">
        <f t="shared" si="6"/>
        <v>0</v>
      </c>
      <c r="L37" s="50">
        <f t="shared" si="6"/>
        <v>0</v>
      </c>
      <c r="M37" s="50">
        <f t="shared" si="6"/>
        <v>0</v>
      </c>
      <c r="N37" s="50">
        <f t="shared" si="6"/>
        <v>0</v>
      </c>
      <c r="O37" s="50">
        <f t="shared" si="6"/>
        <v>0</v>
      </c>
      <c r="P37" s="45"/>
      <c r="Q37" s="50">
        <f t="shared" si="1"/>
        <v>0</v>
      </c>
      <c r="R37" s="40"/>
      <c r="S37" s="40"/>
      <c r="T37" s="40"/>
      <c r="U37" s="40"/>
      <c r="V37" s="40"/>
      <c r="W37" s="40"/>
      <c r="X37" s="40"/>
      <c r="Y37" s="40"/>
      <c r="Z37" s="40"/>
    </row>
    <row r="38" spans="2:26" x14ac:dyDescent="0.2">
      <c r="B38" s="35"/>
      <c r="C38" s="40"/>
      <c r="D38" s="40"/>
      <c r="E38" s="40"/>
      <c r="F38" s="40"/>
      <c r="G38" s="40"/>
      <c r="H38" s="40"/>
      <c r="I38" s="40"/>
      <c r="J38" s="40"/>
      <c r="K38" s="40"/>
      <c r="L38" s="40"/>
      <c r="M38" s="40"/>
      <c r="N38" s="40"/>
      <c r="O38" s="40"/>
      <c r="P38" s="40"/>
      <c r="Q38" s="45"/>
      <c r="R38" s="40"/>
      <c r="S38" s="40"/>
      <c r="T38" s="40"/>
      <c r="U38" s="40"/>
      <c r="V38" s="40"/>
      <c r="W38" s="40"/>
      <c r="X38" s="40"/>
      <c r="Y38" s="40"/>
      <c r="Z38" s="40"/>
    </row>
    <row r="39" spans="2:26" x14ac:dyDescent="0.2">
      <c r="B39" s="47" t="s">
        <v>157</v>
      </c>
      <c r="C39" s="40"/>
      <c r="D39" s="40"/>
      <c r="E39" s="56" t="s">
        <v>170</v>
      </c>
      <c r="F39" s="40"/>
      <c r="G39" s="40"/>
      <c r="H39" s="40"/>
      <c r="I39" s="40"/>
      <c r="J39" s="40"/>
      <c r="K39" s="40"/>
      <c r="L39" s="40"/>
      <c r="M39" s="40"/>
      <c r="N39" s="40"/>
      <c r="O39" s="40"/>
      <c r="P39" s="40"/>
      <c r="Q39" s="45"/>
      <c r="R39" s="40"/>
      <c r="S39" s="40"/>
      <c r="T39" s="40"/>
      <c r="U39" s="40"/>
      <c r="V39" s="40"/>
      <c r="W39" s="40"/>
      <c r="X39" s="40"/>
      <c r="Y39" s="40"/>
      <c r="Z39" s="40"/>
    </row>
    <row r="40" spans="2:26" x14ac:dyDescent="0.2">
      <c r="B40" s="35"/>
      <c r="C40" s="40"/>
      <c r="D40" s="40"/>
      <c r="E40" s="40"/>
      <c r="F40" s="40"/>
      <c r="G40" s="40"/>
      <c r="H40" s="40"/>
      <c r="I40" s="40"/>
      <c r="J40" s="40"/>
      <c r="K40" s="40"/>
      <c r="L40" s="40"/>
      <c r="M40" s="40"/>
      <c r="N40" s="40"/>
      <c r="O40" s="40"/>
      <c r="P40" s="40"/>
      <c r="Q40" s="45"/>
      <c r="R40" s="40"/>
      <c r="S40" s="40"/>
      <c r="T40" s="40"/>
      <c r="U40" s="40"/>
      <c r="V40" s="40"/>
      <c r="W40" s="40"/>
      <c r="X40" s="40"/>
      <c r="Y40" s="40"/>
      <c r="Z40" s="40"/>
    </row>
    <row r="41" spans="2:26" x14ac:dyDescent="0.2">
      <c r="B41" s="51" t="s">
        <v>158</v>
      </c>
      <c r="C41" s="52"/>
      <c r="D41" s="52"/>
      <c r="E41" s="74">
        <f>IFERROR(1/((1+$E$6+E10)^E9),"-")</f>
        <v>1</v>
      </c>
      <c r="F41" s="74">
        <f t="shared" ref="F41:O41" si="7">IFERROR(1/((1+$E$6+F10)^F9),"-")</f>
        <v>0.98039215686274506</v>
      </c>
      <c r="G41" s="74">
        <f t="shared" si="7"/>
        <v>0.96116878123798544</v>
      </c>
      <c r="H41" s="74">
        <f t="shared" si="7"/>
        <v>0.94232233454704462</v>
      </c>
      <c r="I41" s="74">
        <f t="shared" si="7"/>
        <v>0.9238454260265142</v>
      </c>
      <c r="J41" s="74">
        <f t="shared" si="7"/>
        <v>0.90573080982991594</v>
      </c>
      <c r="K41" s="74">
        <f t="shared" si="7"/>
        <v>0.88797138218619198</v>
      </c>
      <c r="L41" s="74">
        <f t="shared" si="7"/>
        <v>0.87056017861391388</v>
      </c>
      <c r="M41" s="74">
        <f t="shared" si="7"/>
        <v>0.85349037119011162</v>
      </c>
      <c r="N41" s="74">
        <f t="shared" si="7"/>
        <v>0.83675526587265847</v>
      </c>
      <c r="O41" s="74" t="str">
        <f t="shared" si="7"/>
        <v>-</v>
      </c>
      <c r="P41" s="40"/>
      <c r="Q41" s="78"/>
      <c r="R41" s="40"/>
      <c r="S41" s="40"/>
      <c r="T41" s="40"/>
      <c r="U41" s="40"/>
      <c r="V41" s="40"/>
      <c r="W41" s="40"/>
      <c r="X41" s="40"/>
      <c r="Y41" s="40"/>
      <c r="Z41" s="40"/>
    </row>
    <row r="42" spans="2:26" x14ac:dyDescent="0.2">
      <c r="B42" s="51" t="s">
        <v>159</v>
      </c>
      <c r="C42" s="52"/>
      <c r="D42" s="52"/>
      <c r="E42" s="75">
        <f>IFERROR(E37*E41,"-")</f>
        <v>0</v>
      </c>
      <c r="F42" s="75">
        <f t="shared" ref="F42:O42" si="8">IFERROR(F37*F41,"-")</f>
        <v>0</v>
      </c>
      <c r="G42" s="75">
        <f t="shared" si="8"/>
        <v>0</v>
      </c>
      <c r="H42" s="75">
        <f t="shared" si="8"/>
        <v>0</v>
      </c>
      <c r="I42" s="75">
        <f t="shared" si="8"/>
        <v>0</v>
      </c>
      <c r="J42" s="75">
        <f t="shared" si="8"/>
        <v>0</v>
      </c>
      <c r="K42" s="75">
        <f t="shared" si="8"/>
        <v>0</v>
      </c>
      <c r="L42" s="75">
        <f t="shared" si="8"/>
        <v>0</v>
      </c>
      <c r="M42" s="75">
        <f t="shared" si="8"/>
        <v>0</v>
      </c>
      <c r="N42" s="75">
        <f t="shared" si="8"/>
        <v>0</v>
      </c>
      <c r="O42" s="75" t="str">
        <f t="shared" si="8"/>
        <v>-</v>
      </c>
      <c r="P42" s="45"/>
      <c r="Q42" s="50">
        <f t="shared" si="1"/>
        <v>0</v>
      </c>
      <c r="R42" s="40"/>
      <c r="S42" s="40"/>
      <c r="T42" s="40"/>
      <c r="U42" s="40"/>
      <c r="V42" s="40"/>
      <c r="W42" s="40"/>
      <c r="X42" s="40"/>
      <c r="Y42" s="40"/>
      <c r="Z42" s="40"/>
    </row>
    <row r="43" spans="2:26" x14ac:dyDescent="0.2">
      <c r="B43" s="35"/>
      <c r="C43" s="40"/>
      <c r="D43" s="40"/>
      <c r="E43" s="45"/>
      <c r="F43" s="45"/>
      <c r="G43" s="45"/>
      <c r="H43" s="45"/>
      <c r="I43" s="45"/>
      <c r="J43" s="45"/>
      <c r="K43" s="45"/>
      <c r="L43" s="45"/>
      <c r="M43" s="45"/>
      <c r="N43" s="45"/>
      <c r="O43" s="45"/>
      <c r="P43" s="45"/>
      <c r="Q43" s="45"/>
      <c r="R43" s="40"/>
      <c r="S43" s="40"/>
      <c r="T43" s="40"/>
      <c r="U43" s="40"/>
      <c r="V43" s="40"/>
      <c r="W43" s="40"/>
      <c r="X43" s="40"/>
      <c r="Y43" s="40"/>
      <c r="Z43" s="40"/>
    </row>
    <row r="44" spans="2:26" x14ac:dyDescent="0.2">
      <c r="B44" s="47" t="s">
        <v>163</v>
      </c>
      <c r="C44" s="40"/>
      <c r="D44" s="40"/>
      <c r="E44" s="55">
        <f>SUM(E42:O42)</f>
        <v>0</v>
      </c>
      <c r="F44" s="139" t="s">
        <v>216</v>
      </c>
      <c r="G44" s="45"/>
      <c r="H44" s="45"/>
      <c r="I44" s="45"/>
      <c r="J44" s="45"/>
      <c r="K44" s="45"/>
      <c r="L44" s="45"/>
      <c r="M44" s="45"/>
      <c r="N44" s="45"/>
      <c r="O44" s="45"/>
      <c r="P44" s="45"/>
      <c r="Q44" s="45"/>
      <c r="R44" s="40"/>
      <c r="S44" s="40"/>
      <c r="T44" s="40"/>
      <c r="U44" s="40"/>
      <c r="V44" s="40"/>
      <c r="W44" s="40"/>
      <c r="X44" s="40"/>
      <c r="Y44" s="40"/>
      <c r="Z44" s="40"/>
    </row>
    <row r="45" spans="2:26" x14ac:dyDescent="0.2">
      <c r="B45" s="35"/>
      <c r="C45" s="40"/>
      <c r="D45" s="40"/>
      <c r="E45" s="45"/>
      <c r="F45" s="45"/>
      <c r="G45" s="45"/>
      <c r="H45" s="45"/>
      <c r="I45" s="45"/>
      <c r="J45" s="45"/>
      <c r="K45" s="45"/>
      <c r="L45" s="45"/>
      <c r="M45" s="45"/>
      <c r="N45" s="45"/>
      <c r="O45" s="45"/>
      <c r="P45" s="45"/>
      <c r="Q45" s="45"/>
      <c r="R45" s="40"/>
      <c r="S45" s="40"/>
      <c r="T45" s="40"/>
      <c r="U45" s="40"/>
      <c r="V45" s="40"/>
      <c r="W45" s="40"/>
      <c r="X45" s="40"/>
      <c r="Y45" s="40"/>
      <c r="Z45" s="40"/>
    </row>
    <row r="46" spans="2:26" x14ac:dyDescent="0.2">
      <c r="B46" s="57" t="s">
        <v>165</v>
      </c>
      <c r="C46" s="40"/>
      <c r="D46" s="40"/>
      <c r="E46" s="50">
        <f>SUM(E47:E49)</f>
        <v>0</v>
      </c>
      <c r="F46" s="50">
        <f t="shared" ref="F46:O46" si="9">SUM(F47:F49)</f>
        <v>0</v>
      </c>
      <c r="G46" s="50">
        <f t="shared" si="9"/>
        <v>0</v>
      </c>
      <c r="H46" s="50">
        <f t="shared" si="9"/>
        <v>0</v>
      </c>
      <c r="I46" s="50">
        <f t="shared" si="9"/>
        <v>0</v>
      </c>
      <c r="J46" s="50">
        <f t="shared" si="9"/>
        <v>0</v>
      </c>
      <c r="K46" s="50">
        <f t="shared" si="9"/>
        <v>0</v>
      </c>
      <c r="L46" s="50">
        <f t="shared" si="9"/>
        <v>0</v>
      </c>
      <c r="M46" s="50">
        <f t="shared" si="9"/>
        <v>0</v>
      </c>
      <c r="N46" s="50">
        <f t="shared" si="9"/>
        <v>0</v>
      </c>
      <c r="O46" s="50">
        <f t="shared" si="9"/>
        <v>0</v>
      </c>
      <c r="P46" s="45"/>
      <c r="Q46" s="50">
        <f t="shared" si="1"/>
        <v>0</v>
      </c>
      <c r="R46" s="40"/>
      <c r="S46" s="40"/>
      <c r="T46" s="40"/>
      <c r="U46" s="40"/>
      <c r="V46" s="40"/>
      <c r="W46" s="40"/>
      <c r="X46" s="40"/>
      <c r="Y46" s="40"/>
      <c r="Z46" s="40"/>
    </row>
    <row r="47" spans="2:26" x14ac:dyDescent="0.2">
      <c r="B47" s="51" t="s">
        <v>129</v>
      </c>
      <c r="C47" s="52"/>
      <c r="D47" s="53" t="s">
        <v>161</v>
      </c>
      <c r="E47" s="65"/>
      <c r="F47" s="65"/>
      <c r="G47" s="65"/>
      <c r="H47" s="65"/>
      <c r="I47" s="65"/>
      <c r="J47" s="65"/>
      <c r="K47" s="65"/>
      <c r="L47" s="65"/>
      <c r="M47" s="65"/>
      <c r="N47" s="65"/>
      <c r="O47" s="65"/>
      <c r="P47" s="45"/>
      <c r="Q47" s="50">
        <f t="shared" si="1"/>
        <v>0</v>
      </c>
      <c r="R47" s="40"/>
      <c r="S47" s="40"/>
      <c r="T47" s="40"/>
      <c r="U47" s="40"/>
      <c r="V47" s="40"/>
      <c r="W47" s="40"/>
      <c r="X47" s="40"/>
      <c r="Y47" s="40"/>
      <c r="Z47" s="40"/>
    </row>
    <row r="48" spans="2:26" x14ac:dyDescent="0.2">
      <c r="B48" s="51" t="s">
        <v>130</v>
      </c>
      <c r="C48" s="52"/>
      <c r="D48" s="53" t="s">
        <v>161</v>
      </c>
      <c r="E48" s="65"/>
      <c r="F48" s="65"/>
      <c r="G48" s="65"/>
      <c r="H48" s="65"/>
      <c r="I48" s="65"/>
      <c r="J48" s="65"/>
      <c r="K48" s="65"/>
      <c r="L48" s="65"/>
      <c r="M48" s="65"/>
      <c r="N48" s="65"/>
      <c r="O48" s="65"/>
      <c r="P48" s="45"/>
      <c r="Q48" s="50">
        <f t="shared" si="1"/>
        <v>0</v>
      </c>
      <c r="R48" s="40"/>
      <c r="S48" s="40"/>
      <c r="T48" s="40"/>
      <c r="U48" s="40"/>
      <c r="V48" s="40"/>
      <c r="W48" s="40"/>
      <c r="X48" s="40"/>
      <c r="Y48" s="40"/>
      <c r="Z48" s="40"/>
    </row>
    <row r="49" spans="2:26" x14ac:dyDescent="0.2">
      <c r="B49" s="51" t="s">
        <v>131</v>
      </c>
      <c r="C49" s="52"/>
      <c r="D49" s="53" t="s">
        <v>161</v>
      </c>
      <c r="E49" s="65"/>
      <c r="F49" s="65"/>
      <c r="G49" s="65"/>
      <c r="H49" s="65"/>
      <c r="I49" s="65"/>
      <c r="J49" s="65"/>
      <c r="K49" s="65"/>
      <c r="L49" s="65"/>
      <c r="M49" s="65"/>
      <c r="N49" s="65"/>
      <c r="O49" s="65"/>
      <c r="P49" s="45"/>
      <c r="Q49" s="50">
        <f t="shared" si="1"/>
        <v>0</v>
      </c>
      <c r="R49" s="40"/>
      <c r="S49" s="40"/>
      <c r="T49" s="40"/>
      <c r="U49" s="40"/>
      <c r="V49" s="40"/>
      <c r="W49" s="40"/>
      <c r="X49" s="40"/>
      <c r="Y49" s="40"/>
      <c r="Z49" s="40"/>
    </row>
    <row r="50" spans="2:26" x14ac:dyDescent="0.2">
      <c r="B50" s="35"/>
      <c r="C50" s="40"/>
      <c r="D50" s="40"/>
      <c r="E50" s="45"/>
      <c r="F50" s="45"/>
      <c r="G50" s="45"/>
      <c r="H50" s="45"/>
      <c r="I50" s="45"/>
      <c r="J50" s="45"/>
      <c r="K50" s="45"/>
      <c r="L50" s="45"/>
      <c r="M50" s="45"/>
      <c r="N50" s="45"/>
      <c r="O50" s="45"/>
      <c r="P50" s="45"/>
      <c r="Q50" s="45"/>
      <c r="R50" s="40"/>
      <c r="S50" s="40"/>
      <c r="T50" s="40"/>
      <c r="U50" s="40"/>
      <c r="V50" s="40"/>
      <c r="W50" s="40"/>
      <c r="X50" s="40"/>
      <c r="Y50" s="40"/>
      <c r="Z50" s="40"/>
    </row>
    <row r="51" spans="2:26" x14ac:dyDescent="0.2">
      <c r="B51" s="90" t="s">
        <v>166</v>
      </c>
      <c r="C51" s="40"/>
      <c r="D51" s="40"/>
      <c r="E51" s="75">
        <f>IFERROR(E46*E41,"-")</f>
        <v>0</v>
      </c>
      <c r="F51" s="75">
        <f t="shared" ref="F51:O51" si="10">IFERROR(F46*F41,"-")</f>
        <v>0</v>
      </c>
      <c r="G51" s="75">
        <f t="shared" si="10"/>
        <v>0</v>
      </c>
      <c r="H51" s="75">
        <f t="shared" si="10"/>
        <v>0</v>
      </c>
      <c r="I51" s="75">
        <f t="shared" si="10"/>
        <v>0</v>
      </c>
      <c r="J51" s="75">
        <f t="shared" si="10"/>
        <v>0</v>
      </c>
      <c r="K51" s="75">
        <f t="shared" si="10"/>
        <v>0</v>
      </c>
      <c r="L51" s="75">
        <f t="shared" si="10"/>
        <v>0</v>
      </c>
      <c r="M51" s="75">
        <f t="shared" si="10"/>
        <v>0</v>
      </c>
      <c r="N51" s="75">
        <f t="shared" si="10"/>
        <v>0</v>
      </c>
      <c r="O51" s="75" t="str">
        <f t="shared" si="10"/>
        <v>-</v>
      </c>
      <c r="P51" s="45"/>
      <c r="Q51" s="50">
        <f t="shared" si="1"/>
        <v>0</v>
      </c>
      <c r="R51" s="40"/>
      <c r="S51" s="40"/>
      <c r="T51" s="40"/>
      <c r="U51" s="40"/>
      <c r="V51" s="40"/>
      <c r="W51" s="40"/>
      <c r="X51" s="40"/>
      <c r="Y51" s="40"/>
      <c r="Z51" s="40"/>
    </row>
    <row r="52" spans="2:26" x14ac:dyDescent="0.2">
      <c r="B52" s="35"/>
      <c r="C52" s="40"/>
      <c r="D52" s="40"/>
      <c r="E52" s="45"/>
      <c r="F52" s="45"/>
      <c r="G52" s="45"/>
      <c r="H52" s="45"/>
      <c r="I52" s="45"/>
      <c r="J52" s="45"/>
      <c r="K52" s="45"/>
      <c r="L52" s="45"/>
      <c r="M52" s="45"/>
      <c r="N52" s="45"/>
      <c r="O52" s="45"/>
      <c r="P52" s="45"/>
      <c r="Q52" s="45"/>
      <c r="R52" s="40"/>
      <c r="S52" s="40"/>
      <c r="T52" s="40"/>
      <c r="U52" s="40"/>
      <c r="V52" s="40"/>
      <c r="W52" s="40"/>
      <c r="X52" s="40"/>
      <c r="Y52" s="40"/>
      <c r="Z52" s="40"/>
    </row>
    <row r="53" spans="2:26" x14ac:dyDescent="0.2">
      <c r="B53" s="47" t="s">
        <v>167</v>
      </c>
      <c r="C53" s="40"/>
      <c r="D53" s="40"/>
      <c r="E53" s="55">
        <f>SUM(E51:O51)</f>
        <v>0</v>
      </c>
      <c r="F53" s="139" t="s">
        <v>216</v>
      </c>
      <c r="G53" s="45"/>
      <c r="H53" s="45"/>
      <c r="I53" s="45"/>
      <c r="J53" s="45"/>
      <c r="K53" s="45"/>
      <c r="L53" s="45"/>
      <c r="M53" s="45"/>
      <c r="N53" s="45"/>
      <c r="O53" s="45"/>
      <c r="P53" s="45"/>
      <c r="Q53" s="45"/>
      <c r="R53" s="40"/>
      <c r="S53" s="40"/>
      <c r="T53" s="40"/>
      <c r="U53" s="40"/>
      <c r="V53" s="40"/>
      <c r="W53" s="40"/>
      <c r="X53" s="40"/>
      <c r="Y53" s="40"/>
      <c r="Z53" s="40"/>
    </row>
    <row r="54" spans="2:26" x14ac:dyDescent="0.2">
      <c r="B54" s="35"/>
      <c r="C54" s="40"/>
      <c r="D54" s="40"/>
      <c r="E54" s="45"/>
      <c r="F54" s="45"/>
      <c r="G54" s="45"/>
      <c r="H54" s="45"/>
      <c r="I54" s="45"/>
      <c r="J54" s="45"/>
      <c r="K54" s="45"/>
      <c r="L54" s="45"/>
      <c r="M54" s="45"/>
      <c r="N54" s="45"/>
      <c r="O54" s="45"/>
      <c r="P54" s="45"/>
      <c r="Q54" s="45"/>
      <c r="R54" s="40"/>
      <c r="S54" s="40"/>
      <c r="T54" s="40"/>
      <c r="U54" s="40"/>
      <c r="V54" s="40"/>
      <c r="W54" s="40"/>
      <c r="X54" s="40"/>
      <c r="Y54" s="40"/>
      <c r="Z54" s="40"/>
    </row>
    <row r="55" spans="2:26" x14ac:dyDescent="0.2">
      <c r="B55" s="57" t="s">
        <v>164</v>
      </c>
      <c r="C55" s="40"/>
      <c r="D55" s="40"/>
      <c r="E55" s="50">
        <f>E37+E46</f>
        <v>0</v>
      </c>
      <c r="F55" s="50">
        <f t="shared" ref="F55:O55" si="11">F37+F46</f>
        <v>0</v>
      </c>
      <c r="G55" s="50">
        <f t="shared" si="11"/>
        <v>0</v>
      </c>
      <c r="H55" s="50">
        <f t="shared" si="11"/>
        <v>0</v>
      </c>
      <c r="I55" s="50">
        <f t="shared" si="11"/>
        <v>0</v>
      </c>
      <c r="J55" s="50">
        <f t="shared" si="11"/>
        <v>0</v>
      </c>
      <c r="K55" s="50">
        <f t="shared" si="11"/>
        <v>0</v>
      </c>
      <c r="L55" s="50">
        <f t="shared" si="11"/>
        <v>0</v>
      </c>
      <c r="M55" s="50">
        <f t="shared" si="11"/>
        <v>0</v>
      </c>
      <c r="N55" s="50">
        <f t="shared" si="11"/>
        <v>0</v>
      </c>
      <c r="O55" s="50">
        <f t="shared" si="11"/>
        <v>0</v>
      </c>
      <c r="P55" s="45"/>
      <c r="Q55" s="50">
        <f t="shared" si="1"/>
        <v>0</v>
      </c>
      <c r="R55" s="40"/>
      <c r="S55" s="40"/>
      <c r="T55" s="40"/>
      <c r="U55" s="40"/>
      <c r="V55" s="40"/>
      <c r="W55" s="40"/>
      <c r="X55" s="40"/>
      <c r="Y55" s="40"/>
      <c r="Z55" s="40"/>
    </row>
    <row r="56" spans="2:26" x14ac:dyDescent="0.2">
      <c r="B56" s="51" t="s">
        <v>171</v>
      </c>
      <c r="C56" s="40"/>
      <c r="D56" s="40"/>
      <c r="E56" s="75">
        <f>IFERROR(E55*E41,"-")</f>
        <v>0</v>
      </c>
      <c r="F56" s="75">
        <f t="shared" ref="F56:O56" si="12">IFERROR(F55*F41,"-")</f>
        <v>0</v>
      </c>
      <c r="G56" s="75">
        <f t="shared" si="12"/>
        <v>0</v>
      </c>
      <c r="H56" s="75">
        <f t="shared" si="12"/>
        <v>0</v>
      </c>
      <c r="I56" s="75">
        <f t="shared" si="12"/>
        <v>0</v>
      </c>
      <c r="J56" s="75">
        <f t="shared" si="12"/>
        <v>0</v>
      </c>
      <c r="K56" s="75">
        <f t="shared" si="12"/>
        <v>0</v>
      </c>
      <c r="L56" s="75">
        <f t="shared" si="12"/>
        <v>0</v>
      </c>
      <c r="M56" s="75">
        <f t="shared" si="12"/>
        <v>0</v>
      </c>
      <c r="N56" s="75">
        <f t="shared" si="12"/>
        <v>0</v>
      </c>
      <c r="O56" s="75" t="str">
        <f t="shared" si="12"/>
        <v>-</v>
      </c>
      <c r="P56" s="45"/>
      <c r="Q56" s="50">
        <f t="shared" si="1"/>
        <v>0</v>
      </c>
      <c r="R56" s="40"/>
      <c r="S56" s="40"/>
      <c r="T56" s="40"/>
      <c r="U56" s="40"/>
      <c r="V56" s="40"/>
      <c r="W56" s="40"/>
      <c r="X56" s="40"/>
      <c r="Y56" s="40"/>
      <c r="Z56" s="40"/>
    </row>
    <row r="57" spans="2:26" x14ac:dyDescent="0.2">
      <c r="C57" s="40"/>
      <c r="D57" s="40"/>
      <c r="E57" s="45"/>
      <c r="F57" s="45"/>
      <c r="G57" s="45"/>
      <c r="H57" s="45"/>
      <c r="I57" s="45"/>
      <c r="J57" s="45"/>
      <c r="K57" s="45"/>
      <c r="L57" s="45"/>
      <c r="M57" s="45"/>
      <c r="N57" s="45"/>
      <c r="O57" s="45"/>
      <c r="P57" s="45"/>
      <c r="Q57" s="45"/>
      <c r="R57" s="40"/>
      <c r="S57" s="40"/>
      <c r="T57" s="40"/>
      <c r="U57" s="40"/>
      <c r="V57" s="40"/>
      <c r="W57" s="40"/>
      <c r="X57" s="40"/>
      <c r="Y57" s="40"/>
      <c r="Z57" s="40"/>
    </row>
    <row r="58" spans="2:26" x14ac:dyDescent="0.2">
      <c r="B58" s="88" t="s">
        <v>139</v>
      </c>
      <c r="C58" s="40"/>
      <c r="D58" s="40"/>
      <c r="E58" s="55">
        <f>SUM(E56:O56)</f>
        <v>0</v>
      </c>
      <c r="F58" s="139" t="s">
        <v>216</v>
      </c>
      <c r="G58" s="45"/>
      <c r="H58" s="45"/>
      <c r="I58" s="45"/>
      <c r="J58" s="45"/>
      <c r="K58" s="45"/>
      <c r="L58" s="45"/>
      <c r="M58" s="45"/>
      <c r="N58" s="45"/>
      <c r="O58" s="45"/>
      <c r="P58" s="45"/>
      <c r="Q58" s="45"/>
      <c r="R58" s="40"/>
      <c r="S58" s="40"/>
      <c r="T58" s="40"/>
      <c r="U58" s="40"/>
      <c r="V58" s="40"/>
      <c r="W58" s="40"/>
      <c r="X58" s="40"/>
      <c r="Y58" s="40"/>
      <c r="Z58" s="40"/>
    </row>
    <row r="59" spans="2:26" x14ac:dyDescent="0.2">
      <c r="C59" s="40"/>
      <c r="D59" s="40"/>
      <c r="E59" s="45"/>
      <c r="F59" s="45"/>
      <c r="G59" s="45"/>
      <c r="H59" s="45"/>
      <c r="I59" s="45"/>
      <c r="J59" s="45"/>
      <c r="K59" s="45"/>
      <c r="L59" s="45"/>
      <c r="M59" s="45"/>
      <c r="N59" s="45"/>
      <c r="O59" s="45"/>
      <c r="P59" s="45"/>
      <c r="Q59" s="45"/>
      <c r="R59" s="40"/>
      <c r="S59" s="40"/>
      <c r="T59" s="40"/>
      <c r="U59" s="40"/>
      <c r="V59" s="40"/>
      <c r="W59" s="40"/>
      <c r="X59" s="40"/>
      <c r="Y59" s="40"/>
      <c r="Z59" s="40"/>
    </row>
    <row r="60" spans="2:26" x14ac:dyDescent="0.2">
      <c r="B60" s="107" t="s">
        <v>145</v>
      </c>
      <c r="C60" s="40"/>
      <c r="D60" s="40"/>
      <c r="E60" s="82"/>
      <c r="F60" s="82"/>
      <c r="G60" s="82"/>
      <c r="H60" s="82"/>
      <c r="I60" s="82"/>
      <c r="J60" s="82"/>
      <c r="K60" s="82"/>
      <c r="L60" s="82"/>
      <c r="M60" s="82"/>
      <c r="N60" s="82"/>
      <c r="O60" s="82"/>
      <c r="P60" s="45"/>
      <c r="Q60" s="50">
        <f t="shared" ref="Q60" si="13">SUM(E60:O60)</f>
        <v>0</v>
      </c>
      <c r="R60" s="40"/>
      <c r="S60" s="40"/>
      <c r="T60" s="40"/>
      <c r="U60" s="40"/>
      <c r="V60" s="40"/>
      <c r="W60" s="40"/>
      <c r="X60" s="40"/>
      <c r="Y60" s="40"/>
      <c r="Z60" s="40"/>
    </row>
    <row r="61" spans="2:26" x14ac:dyDescent="0.2">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2:26" x14ac:dyDescent="0.2"/>
  </sheetData>
  <mergeCells count="1">
    <mergeCell ref="E2:G2"/>
  </mergeCells>
  <conditionalFormatting sqref="B5:Q60">
    <cfRule type="expression" dxfId="7" priority="1">
      <formula>$E$2="NEAIZPILDĪT"</formula>
    </cfRule>
  </conditionalFormatting>
  <conditionalFormatting sqref="E2:G2">
    <cfRule type="cellIs" dxfId="6" priority="3" operator="equal">
      <formula>"NEAIZPILDĪT"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Z70"/>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
  <cols>
    <col min="1" max="1" width="8.85546875" style="1" customWidth="1"/>
    <col min="2" max="2" width="41.28515625" style="1" bestFit="1" customWidth="1"/>
    <col min="3" max="3" width="3.28515625" style="1" customWidth="1"/>
    <col min="4" max="4" width="12.7109375" style="1" hidden="1" customWidth="1" outlineLevel="1"/>
    <col min="5" max="5" width="10.28515625" style="1" bestFit="1" customWidth="1" collapsed="1"/>
    <col min="6" max="15" width="8.85546875" style="1" customWidth="1"/>
    <col min="16" max="16" width="2.85546875" style="1" customWidth="1"/>
    <col min="17" max="18" width="8.85546875" style="1" customWidth="1"/>
    <col min="19" max="16384" width="8.85546875" style="1" hidden="1"/>
  </cols>
  <sheetData>
    <row r="1" spans="2:26" x14ac:dyDescent="0.2"/>
    <row r="2" spans="2:26" ht="15" x14ac:dyDescent="0.25">
      <c r="B2" s="46" t="s">
        <v>217</v>
      </c>
      <c r="C2" s="46"/>
      <c r="D2" s="46"/>
      <c r="E2" s="521" t="str">
        <f>IF(Titullapa!$D$21="Jā","AIZPILDĪT","NEAIZPILDĪT")</f>
        <v>NEAIZPILDĪT</v>
      </c>
      <c r="F2" s="521"/>
      <c r="G2" s="521"/>
      <c r="H2" s="46"/>
      <c r="I2" s="46"/>
      <c r="J2" s="46"/>
      <c r="K2" s="46"/>
      <c r="L2" s="46"/>
      <c r="M2" s="46"/>
      <c r="N2" s="46"/>
      <c r="O2" s="46"/>
    </row>
    <row r="3" spans="2:26" x14ac:dyDescent="0.2"/>
    <row r="4" spans="2:26" x14ac:dyDescent="0.2"/>
    <row r="5" spans="2:26" x14ac:dyDescent="0.2">
      <c r="B5" s="49" t="s">
        <v>146</v>
      </c>
      <c r="E5" s="58" t="s">
        <v>137</v>
      </c>
    </row>
    <row r="6" spans="2:26" x14ac:dyDescent="0.2">
      <c r="B6" s="49" t="s">
        <v>193</v>
      </c>
      <c r="C6" s="40"/>
      <c r="D6" s="40"/>
      <c r="E6" s="62">
        <f>NPV_Bāze_I!E6</f>
        <v>0.04</v>
      </c>
      <c r="F6" s="40"/>
      <c r="G6" s="40"/>
      <c r="H6" s="40"/>
      <c r="I6" s="40"/>
      <c r="J6" s="40"/>
      <c r="K6" s="40"/>
      <c r="L6" s="40"/>
      <c r="M6" s="40"/>
      <c r="N6" s="40"/>
      <c r="O6" s="40"/>
      <c r="P6" s="40"/>
      <c r="Q6" s="40"/>
      <c r="R6" s="40"/>
      <c r="S6" s="40"/>
      <c r="T6" s="40"/>
      <c r="U6" s="40"/>
      <c r="V6" s="40"/>
      <c r="W6" s="40"/>
      <c r="X6" s="40"/>
      <c r="Y6" s="40"/>
      <c r="Z6" s="40"/>
    </row>
    <row r="7" spans="2:26" x14ac:dyDescent="0.2">
      <c r="B7" s="41"/>
      <c r="C7" s="40"/>
      <c r="D7" s="40"/>
      <c r="E7" s="40"/>
      <c r="F7" s="40"/>
      <c r="G7" s="40"/>
      <c r="H7" s="40"/>
      <c r="I7" s="40"/>
      <c r="J7" s="40"/>
      <c r="K7" s="40"/>
      <c r="L7" s="40"/>
      <c r="M7" s="40"/>
      <c r="N7" s="40"/>
      <c r="O7" s="40"/>
      <c r="P7" s="40"/>
      <c r="Q7" s="40"/>
      <c r="R7" s="40"/>
      <c r="S7" s="40"/>
      <c r="T7" s="40"/>
      <c r="U7" s="40"/>
      <c r="V7" s="40"/>
      <c r="W7" s="40"/>
      <c r="X7" s="40"/>
      <c r="Y7" s="40"/>
      <c r="Z7" s="40"/>
    </row>
    <row r="8" spans="2:26" x14ac:dyDescent="0.2">
      <c r="B8" s="49" t="s">
        <v>169</v>
      </c>
      <c r="C8" s="40"/>
      <c r="D8" s="40"/>
      <c r="E8" s="143">
        <f>Projekts!D4</f>
        <v>2028</v>
      </c>
      <c r="F8" s="143">
        <f>Projekts!E4</f>
        <v>2029</v>
      </c>
      <c r="G8" s="143">
        <f>Projekts!F4</f>
        <v>2030</v>
      </c>
      <c r="H8" s="143">
        <f>Projekts!G4</f>
        <v>2031</v>
      </c>
      <c r="I8" s="143">
        <f>Projekts!H4</f>
        <v>2032</v>
      </c>
      <c r="J8" s="143">
        <f>Projekts!I4</f>
        <v>2033</v>
      </c>
      <c r="K8" s="143">
        <f>Projekts!J4</f>
        <v>2034</v>
      </c>
      <c r="L8" s="143">
        <f>Projekts!K4</f>
        <v>2035</v>
      </c>
      <c r="M8" s="143">
        <f>Projekts!L4</f>
        <v>2036</v>
      </c>
      <c r="N8" s="143">
        <f>Projekts!M4</f>
        <v>2037</v>
      </c>
      <c r="O8" s="60"/>
      <c r="P8" s="40"/>
      <c r="Q8" s="40" t="s">
        <v>191</v>
      </c>
      <c r="R8" s="40"/>
      <c r="S8" s="40"/>
      <c r="T8" s="40"/>
      <c r="U8" s="40"/>
      <c r="V8" s="40"/>
      <c r="W8" s="40"/>
      <c r="X8" s="40"/>
      <c r="Y8" s="40"/>
      <c r="Z8" s="40"/>
    </row>
    <row r="9" spans="2:26" x14ac:dyDescent="0.2">
      <c r="B9" s="49" t="s">
        <v>168</v>
      </c>
      <c r="C9" s="40"/>
      <c r="D9" s="40"/>
      <c r="E9" s="144">
        <f>Projekts!D6</f>
        <v>0</v>
      </c>
      <c r="F9" s="144">
        <f>Projekts!E6</f>
        <v>1</v>
      </c>
      <c r="G9" s="144">
        <f>Projekts!F6</f>
        <v>2</v>
      </c>
      <c r="H9" s="144">
        <f>Projekts!G6</f>
        <v>3</v>
      </c>
      <c r="I9" s="144">
        <f>Projekts!H6</f>
        <v>4</v>
      </c>
      <c r="J9" s="144">
        <f>Projekts!I6</f>
        <v>5</v>
      </c>
      <c r="K9" s="144">
        <f>Projekts!J6</f>
        <v>6</v>
      </c>
      <c r="L9" s="144">
        <f>Projekts!K6</f>
        <v>7</v>
      </c>
      <c r="M9" s="144">
        <f>Projekts!L6</f>
        <v>8</v>
      </c>
      <c r="N9" s="144">
        <f>Projekts!M6</f>
        <v>9</v>
      </c>
      <c r="O9" s="56" t="s">
        <v>111</v>
      </c>
      <c r="P9" s="40"/>
      <c r="Q9" s="40">
        <f>COUNTA(E9:O9)</f>
        <v>11</v>
      </c>
      <c r="R9" s="40"/>
      <c r="S9" s="40"/>
      <c r="T9" s="40"/>
      <c r="U9" s="40"/>
      <c r="V9" s="40"/>
      <c r="W9" s="40"/>
      <c r="X9" s="40"/>
      <c r="Y9" s="40"/>
      <c r="Z9" s="40"/>
    </row>
    <row r="10" spans="2:26" x14ac:dyDescent="0.2">
      <c r="B10" s="49" t="s">
        <v>147</v>
      </c>
      <c r="C10" s="40"/>
      <c r="D10" s="40"/>
      <c r="E10" s="145">
        <f>Projekts!D10</f>
        <v>2.4E-2</v>
      </c>
      <c r="F10" s="145">
        <f>Projekts!E10</f>
        <v>0.02</v>
      </c>
      <c r="G10" s="145">
        <f>Projekts!F10</f>
        <v>0.02</v>
      </c>
      <c r="H10" s="145">
        <f>Projekts!G10</f>
        <v>0.02</v>
      </c>
      <c r="I10" s="145">
        <f>Projekts!H10</f>
        <v>0.02</v>
      </c>
      <c r="J10" s="145">
        <f>Projekts!I10</f>
        <v>0.02</v>
      </c>
      <c r="K10" s="145">
        <f>Projekts!J10</f>
        <v>0.02</v>
      </c>
      <c r="L10" s="145">
        <f>Projekts!K10</f>
        <v>0.02</v>
      </c>
      <c r="M10" s="145">
        <f>Projekts!L10</f>
        <v>0.02</v>
      </c>
      <c r="N10" s="145">
        <f>Projekts!M10</f>
        <v>0.02</v>
      </c>
      <c r="O10" s="61"/>
      <c r="P10" s="40"/>
      <c r="Q10" s="40"/>
      <c r="R10" s="40"/>
      <c r="S10" s="40"/>
      <c r="T10" s="40"/>
      <c r="U10" s="40"/>
      <c r="V10" s="40"/>
      <c r="W10" s="40"/>
      <c r="X10" s="40"/>
      <c r="Y10" s="40"/>
      <c r="Z10" s="40"/>
    </row>
    <row r="11" spans="2:26" x14ac:dyDescent="0.2">
      <c r="B11" s="35"/>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2:26" x14ac:dyDescent="0.2">
      <c r="B12" s="42" t="s">
        <v>172</v>
      </c>
      <c r="C12" s="40"/>
      <c r="D12" s="44" t="s">
        <v>160</v>
      </c>
      <c r="E12" s="40"/>
      <c r="F12" s="40"/>
      <c r="G12" s="40"/>
      <c r="H12" s="40"/>
      <c r="I12" s="40"/>
      <c r="J12" s="40"/>
      <c r="K12" s="40"/>
      <c r="L12" s="40"/>
      <c r="M12" s="40"/>
      <c r="N12" s="40"/>
      <c r="O12" s="40"/>
      <c r="P12" s="40"/>
      <c r="Q12" s="40"/>
      <c r="R12" s="40"/>
      <c r="S12" s="40"/>
      <c r="T12" s="40"/>
      <c r="U12" s="40"/>
      <c r="V12" s="40"/>
      <c r="W12" s="40"/>
      <c r="X12" s="40"/>
      <c r="Y12" s="40"/>
      <c r="Z12" s="40"/>
    </row>
    <row r="13" spans="2:26" x14ac:dyDescent="0.2">
      <c r="B13" s="57" t="s">
        <v>149</v>
      </c>
      <c r="C13" s="40"/>
      <c r="D13" s="44"/>
      <c r="E13" s="50">
        <f>SUM(E14:E17)</f>
        <v>0</v>
      </c>
      <c r="F13" s="50">
        <f t="shared" ref="F13:O13" si="0">SUM(F14:F17)</f>
        <v>0</v>
      </c>
      <c r="G13" s="50">
        <f t="shared" si="0"/>
        <v>0</v>
      </c>
      <c r="H13" s="50">
        <f t="shared" si="0"/>
        <v>0</v>
      </c>
      <c r="I13" s="50">
        <f t="shared" si="0"/>
        <v>0</v>
      </c>
      <c r="J13" s="50">
        <f t="shared" si="0"/>
        <v>0</v>
      </c>
      <c r="K13" s="50">
        <f t="shared" si="0"/>
        <v>0</v>
      </c>
      <c r="L13" s="50">
        <f t="shared" si="0"/>
        <v>0</v>
      </c>
      <c r="M13" s="50">
        <f t="shared" si="0"/>
        <v>0</v>
      </c>
      <c r="N13" s="50">
        <f t="shared" si="0"/>
        <v>0</v>
      </c>
      <c r="O13" s="50">
        <f t="shared" si="0"/>
        <v>0</v>
      </c>
      <c r="P13" s="45"/>
      <c r="Q13" s="50">
        <f>SUM(E13:O13)</f>
        <v>0</v>
      </c>
      <c r="R13" s="40"/>
      <c r="S13" s="40"/>
      <c r="T13" s="40"/>
      <c r="U13" s="40"/>
      <c r="V13" s="40"/>
      <c r="W13" s="40"/>
      <c r="X13" s="40"/>
      <c r="Y13" s="40"/>
      <c r="Z13" s="40"/>
    </row>
    <row r="14" spans="2:26" x14ac:dyDescent="0.2">
      <c r="B14" s="76" t="s">
        <v>177</v>
      </c>
      <c r="C14" s="40"/>
      <c r="D14" s="44" t="s">
        <v>161</v>
      </c>
      <c r="E14" s="65"/>
      <c r="F14" s="65"/>
      <c r="G14" s="65"/>
      <c r="H14" s="65"/>
      <c r="I14" s="65"/>
      <c r="J14" s="65"/>
      <c r="K14" s="65"/>
      <c r="L14" s="65"/>
      <c r="M14" s="65"/>
      <c r="N14" s="65"/>
      <c r="O14" s="65"/>
      <c r="P14" s="45"/>
      <c r="Q14" s="50">
        <f t="shared" ref="Q14:Q64" si="1">SUM(E14:O14)</f>
        <v>0</v>
      </c>
      <c r="R14" s="40"/>
      <c r="S14" s="40"/>
      <c r="T14" s="40"/>
      <c r="U14" s="40"/>
      <c r="V14" s="40"/>
      <c r="W14" s="40"/>
      <c r="X14" s="40"/>
      <c r="Y14" s="40"/>
      <c r="Z14" s="40"/>
    </row>
    <row r="15" spans="2:26" x14ac:dyDescent="0.2">
      <c r="B15" s="76" t="s">
        <v>178</v>
      </c>
      <c r="C15" s="40"/>
      <c r="D15" s="44" t="s">
        <v>161</v>
      </c>
      <c r="E15" s="65"/>
      <c r="F15" s="65"/>
      <c r="G15" s="65"/>
      <c r="H15" s="65"/>
      <c r="I15" s="65"/>
      <c r="J15" s="65"/>
      <c r="K15" s="65"/>
      <c r="L15" s="65"/>
      <c r="M15" s="65"/>
      <c r="N15" s="65"/>
      <c r="O15" s="65"/>
      <c r="P15" s="45"/>
      <c r="Q15" s="50">
        <f t="shared" si="1"/>
        <v>0</v>
      </c>
      <c r="R15" s="40"/>
      <c r="S15" s="40"/>
      <c r="T15" s="40"/>
      <c r="U15" s="40"/>
      <c r="V15" s="40"/>
      <c r="W15" s="40"/>
      <c r="X15" s="40"/>
      <c r="Y15" s="40"/>
      <c r="Z15" s="40"/>
    </row>
    <row r="16" spans="2:26" x14ac:dyDescent="0.2">
      <c r="B16" s="76" t="s">
        <v>179</v>
      </c>
      <c r="C16" s="40"/>
      <c r="D16" s="44" t="s">
        <v>161</v>
      </c>
      <c r="E16" s="65"/>
      <c r="F16" s="65"/>
      <c r="G16" s="65"/>
      <c r="H16" s="65"/>
      <c r="I16" s="65"/>
      <c r="J16" s="65"/>
      <c r="K16" s="65"/>
      <c r="L16" s="65"/>
      <c r="M16" s="65"/>
      <c r="N16" s="65"/>
      <c r="O16" s="65"/>
      <c r="P16" s="45"/>
      <c r="Q16" s="50">
        <f t="shared" si="1"/>
        <v>0</v>
      </c>
      <c r="R16" s="40"/>
      <c r="S16" s="40"/>
      <c r="T16" s="40"/>
      <c r="U16" s="40"/>
      <c r="V16" s="40"/>
      <c r="W16" s="40"/>
      <c r="X16" s="40"/>
      <c r="Y16" s="40"/>
      <c r="Z16" s="40"/>
    </row>
    <row r="17" spans="2:26" x14ac:dyDescent="0.2">
      <c r="B17" s="76" t="s">
        <v>111</v>
      </c>
      <c r="C17" s="40"/>
      <c r="D17" s="44" t="s">
        <v>161</v>
      </c>
      <c r="E17" s="65"/>
      <c r="F17" s="65"/>
      <c r="G17" s="65"/>
      <c r="H17" s="65"/>
      <c r="I17" s="65"/>
      <c r="J17" s="65"/>
      <c r="K17" s="65"/>
      <c r="L17" s="65"/>
      <c r="M17" s="65"/>
      <c r="N17" s="65"/>
      <c r="O17" s="65"/>
      <c r="P17" s="45"/>
      <c r="Q17" s="50">
        <f t="shared" si="1"/>
        <v>0</v>
      </c>
      <c r="R17" s="40"/>
      <c r="S17" s="40"/>
      <c r="T17" s="40"/>
      <c r="U17" s="40"/>
      <c r="V17" s="40"/>
      <c r="W17" s="40"/>
      <c r="X17" s="40"/>
      <c r="Y17" s="40"/>
      <c r="Z17" s="40"/>
    </row>
    <row r="18" spans="2:26" x14ac:dyDescent="0.2">
      <c r="B18" s="35"/>
      <c r="C18" s="40"/>
      <c r="D18" s="44"/>
      <c r="E18" s="45"/>
      <c r="F18" s="45"/>
      <c r="G18" s="45"/>
      <c r="H18" s="45"/>
      <c r="I18" s="45"/>
      <c r="J18" s="45"/>
      <c r="K18" s="45"/>
      <c r="L18" s="45"/>
      <c r="M18" s="45"/>
      <c r="N18" s="45"/>
      <c r="O18" s="45"/>
      <c r="P18" s="45"/>
      <c r="Q18" s="45"/>
      <c r="R18" s="40"/>
      <c r="S18" s="40"/>
      <c r="T18" s="40"/>
      <c r="U18" s="40"/>
      <c r="V18" s="40"/>
      <c r="W18" s="40"/>
      <c r="X18" s="40"/>
      <c r="Y18" s="40"/>
      <c r="Z18" s="40"/>
    </row>
    <row r="19" spans="2:26" x14ac:dyDescent="0.2">
      <c r="B19" s="57" t="s">
        <v>150</v>
      </c>
      <c r="C19" s="40"/>
      <c r="D19" s="44"/>
      <c r="E19" s="50">
        <f>E20+E25</f>
        <v>0</v>
      </c>
      <c r="F19" s="50">
        <f t="shared" ref="F19:O19" si="2">F20+F25</f>
        <v>0</v>
      </c>
      <c r="G19" s="50">
        <f t="shared" si="2"/>
        <v>0</v>
      </c>
      <c r="H19" s="50">
        <f t="shared" si="2"/>
        <v>0</v>
      </c>
      <c r="I19" s="50">
        <f t="shared" si="2"/>
        <v>0</v>
      </c>
      <c r="J19" s="50">
        <f t="shared" si="2"/>
        <v>0</v>
      </c>
      <c r="K19" s="50">
        <f t="shared" si="2"/>
        <v>0</v>
      </c>
      <c r="L19" s="50">
        <f t="shared" si="2"/>
        <v>0</v>
      </c>
      <c r="M19" s="50">
        <f t="shared" si="2"/>
        <v>0</v>
      </c>
      <c r="N19" s="50">
        <f t="shared" si="2"/>
        <v>0</v>
      </c>
      <c r="O19" s="50">
        <f t="shared" si="2"/>
        <v>0</v>
      </c>
      <c r="P19" s="45"/>
      <c r="Q19" s="50">
        <f t="shared" si="1"/>
        <v>0</v>
      </c>
      <c r="R19" s="40"/>
      <c r="S19" s="40"/>
      <c r="T19" s="40"/>
      <c r="U19" s="40"/>
      <c r="V19" s="40"/>
      <c r="W19" s="40"/>
      <c r="X19" s="40"/>
      <c r="Y19" s="40"/>
      <c r="Z19" s="40"/>
    </row>
    <row r="20" spans="2:26" x14ac:dyDescent="0.2">
      <c r="B20" s="77" t="s">
        <v>151</v>
      </c>
      <c r="C20" s="40"/>
      <c r="D20" s="44"/>
      <c r="E20" s="50">
        <f>SUM(E21:E24)</f>
        <v>0</v>
      </c>
      <c r="F20" s="50">
        <f t="shared" ref="F20:O20" si="3">SUM(F21:F24)</f>
        <v>0</v>
      </c>
      <c r="G20" s="50">
        <f t="shared" si="3"/>
        <v>0</v>
      </c>
      <c r="H20" s="50">
        <f t="shared" si="3"/>
        <v>0</v>
      </c>
      <c r="I20" s="50">
        <f t="shared" si="3"/>
        <v>0</v>
      </c>
      <c r="J20" s="50">
        <f t="shared" si="3"/>
        <v>0</v>
      </c>
      <c r="K20" s="50">
        <f t="shared" si="3"/>
        <v>0</v>
      </c>
      <c r="L20" s="50">
        <f t="shared" si="3"/>
        <v>0</v>
      </c>
      <c r="M20" s="50">
        <f t="shared" si="3"/>
        <v>0</v>
      </c>
      <c r="N20" s="50">
        <f t="shared" si="3"/>
        <v>0</v>
      </c>
      <c r="O20" s="50">
        <f t="shared" si="3"/>
        <v>0</v>
      </c>
      <c r="P20" s="45"/>
      <c r="Q20" s="50">
        <f t="shared" si="1"/>
        <v>0</v>
      </c>
      <c r="R20" s="40"/>
      <c r="S20" s="40"/>
      <c r="T20" s="40"/>
      <c r="U20" s="40"/>
      <c r="V20" s="40"/>
      <c r="W20" s="40"/>
      <c r="X20" s="40"/>
      <c r="Y20" s="40"/>
      <c r="Z20" s="40"/>
    </row>
    <row r="21" spans="2:26" x14ac:dyDescent="0.2">
      <c r="B21" s="76" t="s">
        <v>180</v>
      </c>
      <c r="C21" s="40"/>
      <c r="D21" s="44" t="s">
        <v>161</v>
      </c>
      <c r="E21" s="65"/>
      <c r="F21" s="65"/>
      <c r="G21" s="65"/>
      <c r="H21" s="65"/>
      <c r="I21" s="65"/>
      <c r="J21" s="65"/>
      <c r="K21" s="65"/>
      <c r="L21" s="65"/>
      <c r="M21" s="65"/>
      <c r="N21" s="65"/>
      <c r="O21" s="65"/>
      <c r="P21" s="45"/>
      <c r="Q21" s="50">
        <f t="shared" si="1"/>
        <v>0</v>
      </c>
      <c r="R21" s="40"/>
      <c r="S21" s="40"/>
      <c r="T21" s="40"/>
      <c r="U21" s="40"/>
      <c r="V21" s="40"/>
      <c r="W21" s="40"/>
      <c r="X21" s="40"/>
      <c r="Y21" s="40"/>
      <c r="Z21" s="40"/>
    </row>
    <row r="22" spans="2:26" x14ac:dyDescent="0.2">
      <c r="B22" s="76" t="s">
        <v>181</v>
      </c>
      <c r="C22" s="40"/>
      <c r="D22" s="44" t="s">
        <v>161</v>
      </c>
      <c r="E22" s="65"/>
      <c r="F22" s="65"/>
      <c r="G22" s="65"/>
      <c r="H22" s="65"/>
      <c r="I22" s="65"/>
      <c r="J22" s="65"/>
      <c r="K22" s="65"/>
      <c r="L22" s="65"/>
      <c r="M22" s="65"/>
      <c r="N22" s="65"/>
      <c r="O22" s="65"/>
      <c r="P22" s="45"/>
      <c r="Q22" s="50">
        <f t="shared" si="1"/>
        <v>0</v>
      </c>
      <c r="R22" s="40"/>
      <c r="S22" s="40"/>
      <c r="T22" s="40"/>
      <c r="U22" s="40"/>
      <c r="V22" s="40"/>
      <c r="W22" s="40"/>
      <c r="X22" s="40"/>
      <c r="Y22" s="40"/>
      <c r="Z22" s="40"/>
    </row>
    <row r="23" spans="2:26" x14ac:dyDescent="0.2">
      <c r="B23" s="76" t="s">
        <v>182</v>
      </c>
      <c r="C23" s="40"/>
      <c r="D23" s="44" t="s">
        <v>161</v>
      </c>
      <c r="E23" s="65"/>
      <c r="F23" s="65"/>
      <c r="G23" s="65"/>
      <c r="H23" s="65"/>
      <c r="I23" s="65"/>
      <c r="J23" s="65"/>
      <c r="K23" s="65"/>
      <c r="L23" s="65"/>
      <c r="M23" s="65"/>
      <c r="N23" s="65"/>
      <c r="O23" s="65"/>
      <c r="P23" s="45"/>
      <c r="Q23" s="50">
        <f t="shared" si="1"/>
        <v>0</v>
      </c>
      <c r="R23" s="40"/>
      <c r="S23" s="40"/>
      <c r="T23" s="40"/>
      <c r="U23" s="40"/>
      <c r="V23" s="40"/>
      <c r="W23" s="40"/>
      <c r="X23" s="40"/>
      <c r="Y23" s="40"/>
      <c r="Z23" s="40"/>
    </row>
    <row r="24" spans="2:26" x14ac:dyDescent="0.2">
      <c r="B24" s="76" t="s">
        <v>111</v>
      </c>
      <c r="C24" s="40"/>
      <c r="D24" s="44" t="s">
        <v>161</v>
      </c>
      <c r="E24" s="65"/>
      <c r="F24" s="65"/>
      <c r="G24" s="65"/>
      <c r="H24" s="65"/>
      <c r="I24" s="65"/>
      <c r="J24" s="65"/>
      <c r="K24" s="65"/>
      <c r="L24" s="65"/>
      <c r="M24" s="65"/>
      <c r="N24" s="65"/>
      <c r="O24" s="65"/>
      <c r="P24" s="45"/>
      <c r="Q24" s="50">
        <f t="shared" si="1"/>
        <v>0</v>
      </c>
      <c r="R24" s="40"/>
      <c r="S24" s="40"/>
      <c r="T24" s="40"/>
      <c r="U24" s="40"/>
      <c r="V24" s="40"/>
      <c r="W24" s="40"/>
      <c r="X24" s="40"/>
      <c r="Y24" s="40"/>
      <c r="Z24" s="40"/>
    </row>
    <row r="25" spans="2:26" x14ac:dyDescent="0.2">
      <c r="B25" s="77" t="s">
        <v>152</v>
      </c>
      <c r="C25" s="40"/>
      <c r="D25" s="44"/>
      <c r="E25" s="50">
        <f>SUM(E26:E29)</f>
        <v>0</v>
      </c>
      <c r="F25" s="50">
        <f t="shared" ref="F25:O25" si="4">SUM(F26:F29)</f>
        <v>0</v>
      </c>
      <c r="G25" s="50">
        <f t="shared" si="4"/>
        <v>0</v>
      </c>
      <c r="H25" s="50">
        <f t="shared" si="4"/>
        <v>0</v>
      </c>
      <c r="I25" s="50">
        <f t="shared" si="4"/>
        <v>0</v>
      </c>
      <c r="J25" s="50">
        <f t="shared" si="4"/>
        <v>0</v>
      </c>
      <c r="K25" s="50">
        <f t="shared" si="4"/>
        <v>0</v>
      </c>
      <c r="L25" s="50">
        <f t="shared" si="4"/>
        <v>0</v>
      </c>
      <c r="M25" s="50">
        <f t="shared" si="4"/>
        <v>0</v>
      </c>
      <c r="N25" s="50">
        <f t="shared" si="4"/>
        <v>0</v>
      </c>
      <c r="O25" s="50">
        <f t="shared" si="4"/>
        <v>0</v>
      </c>
      <c r="P25" s="45"/>
      <c r="Q25" s="50">
        <f t="shared" si="1"/>
        <v>0</v>
      </c>
      <c r="R25" s="40"/>
      <c r="S25" s="40"/>
      <c r="T25" s="40"/>
      <c r="U25" s="40"/>
      <c r="V25" s="40"/>
      <c r="W25" s="40"/>
      <c r="X25" s="40"/>
      <c r="Y25" s="40"/>
      <c r="Z25" s="40"/>
    </row>
    <row r="26" spans="2:26" x14ac:dyDescent="0.2">
      <c r="B26" s="76" t="s">
        <v>183</v>
      </c>
      <c r="C26" s="40"/>
      <c r="D26" s="44" t="s">
        <v>161</v>
      </c>
      <c r="E26" s="65"/>
      <c r="F26" s="65"/>
      <c r="G26" s="65"/>
      <c r="H26" s="65"/>
      <c r="I26" s="65"/>
      <c r="J26" s="65"/>
      <c r="K26" s="65"/>
      <c r="L26" s="65"/>
      <c r="M26" s="65"/>
      <c r="N26" s="65"/>
      <c r="O26" s="65"/>
      <c r="P26" s="45"/>
      <c r="Q26" s="50">
        <f t="shared" si="1"/>
        <v>0</v>
      </c>
      <c r="R26" s="40"/>
      <c r="S26" s="40"/>
      <c r="T26" s="40"/>
      <c r="U26" s="40"/>
      <c r="V26" s="40"/>
      <c r="W26" s="40"/>
      <c r="X26" s="40"/>
      <c r="Y26" s="40"/>
      <c r="Z26" s="40"/>
    </row>
    <row r="27" spans="2:26" x14ac:dyDescent="0.2">
      <c r="B27" s="76" t="s">
        <v>184</v>
      </c>
      <c r="C27" s="40"/>
      <c r="D27" s="44" t="s">
        <v>161</v>
      </c>
      <c r="E27" s="65"/>
      <c r="F27" s="65"/>
      <c r="G27" s="65"/>
      <c r="H27" s="65"/>
      <c r="I27" s="65"/>
      <c r="J27" s="65"/>
      <c r="K27" s="65"/>
      <c r="L27" s="65"/>
      <c r="M27" s="65"/>
      <c r="N27" s="65"/>
      <c r="O27" s="65"/>
      <c r="P27" s="45"/>
      <c r="Q27" s="50">
        <f t="shared" si="1"/>
        <v>0</v>
      </c>
      <c r="R27" s="40"/>
      <c r="S27" s="40"/>
      <c r="T27" s="40"/>
      <c r="U27" s="40"/>
      <c r="V27" s="40"/>
      <c r="W27" s="40"/>
      <c r="X27" s="40"/>
      <c r="Y27" s="40"/>
      <c r="Z27" s="40"/>
    </row>
    <row r="28" spans="2:26" x14ac:dyDescent="0.2">
      <c r="B28" s="76" t="s">
        <v>185</v>
      </c>
      <c r="C28" s="40"/>
      <c r="D28" s="44" t="s">
        <v>161</v>
      </c>
      <c r="E28" s="65"/>
      <c r="F28" s="65"/>
      <c r="G28" s="65"/>
      <c r="H28" s="65"/>
      <c r="I28" s="65"/>
      <c r="J28" s="65"/>
      <c r="K28" s="65"/>
      <c r="L28" s="65"/>
      <c r="M28" s="65"/>
      <c r="N28" s="65"/>
      <c r="O28" s="65"/>
      <c r="P28" s="45"/>
      <c r="Q28" s="50">
        <f t="shared" si="1"/>
        <v>0</v>
      </c>
      <c r="R28" s="40"/>
      <c r="S28" s="40"/>
      <c r="T28" s="40"/>
      <c r="U28" s="40"/>
      <c r="V28" s="40"/>
      <c r="W28" s="40"/>
      <c r="X28" s="40"/>
      <c r="Y28" s="40"/>
      <c r="Z28" s="40"/>
    </row>
    <row r="29" spans="2:26" x14ac:dyDescent="0.2">
      <c r="B29" s="76" t="s">
        <v>111</v>
      </c>
      <c r="C29" s="40"/>
      <c r="D29" s="44" t="s">
        <v>161</v>
      </c>
      <c r="E29" s="65"/>
      <c r="F29" s="65"/>
      <c r="G29" s="65"/>
      <c r="H29" s="65"/>
      <c r="I29" s="65"/>
      <c r="J29" s="65"/>
      <c r="K29" s="65"/>
      <c r="L29" s="65"/>
      <c r="M29" s="65"/>
      <c r="N29" s="65"/>
      <c r="O29" s="65"/>
      <c r="P29" s="45"/>
      <c r="Q29" s="50">
        <f t="shared" si="1"/>
        <v>0</v>
      </c>
      <c r="R29" s="40"/>
      <c r="S29" s="40"/>
      <c r="T29" s="40"/>
      <c r="U29" s="40"/>
      <c r="V29" s="40"/>
      <c r="W29" s="40"/>
      <c r="X29" s="40"/>
      <c r="Y29" s="40"/>
      <c r="Z29" s="40"/>
    </row>
    <row r="30" spans="2:26" x14ac:dyDescent="0.2">
      <c r="B30" s="35"/>
      <c r="C30" s="40"/>
      <c r="D30" s="44"/>
      <c r="E30" s="45"/>
      <c r="F30" s="45"/>
      <c r="G30" s="45"/>
      <c r="H30" s="45"/>
      <c r="I30" s="45"/>
      <c r="J30" s="45"/>
      <c r="K30" s="45"/>
      <c r="L30" s="45"/>
      <c r="M30" s="45"/>
      <c r="N30" s="45"/>
      <c r="O30" s="45"/>
      <c r="P30" s="45"/>
      <c r="Q30" s="45"/>
      <c r="R30" s="40"/>
      <c r="S30" s="40"/>
      <c r="T30" s="40"/>
      <c r="U30" s="40"/>
      <c r="V30" s="40"/>
      <c r="W30" s="40"/>
      <c r="X30" s="40"/>
      <c r="Y30" s="40"/>
      <c r="Z30" s="40"/>
    </row>
    <row r="31" spans="2:26" x14ac:dyDescent="0.2">
      <c r="B31" s="57" t="s">
        <v>153</v>
      </c>
      <c r="C31" s="40"/>
      <c r="D31" s="44"/>
      <c r="E31" s="50">
        <f>SUM(E32:E35)</f>
        <v>0</v>
      </c>
      <c r="F31" s="50">
        <f t="shared" ref="F31:O31" si="5">SUM(F32:F35)</f>
        <v>0</v>
      </c>
      <c r="G31" s="50">
        <f t="shared" si="5"/>
        <v>0</v>
      </c>
      <c r="H31" s="50">
        <f t="shared" si="5"/>
        <v>0</v>
      </c>
      <c r="I31" s="50">
        <f t="shared" si="5"/>
        <v>0</v>
      </c>
      <c r="J31" s="50">
        <f t="shared" si="5"/>
        <v>0</v>
      </c>
      <c r="K31" s="50">
        <f t="shared" si="5"/>
        <v>0</v>
      </c>
      <c r="L31" s="50">
        <f t="shared" si="5"/>
        <v>0</v>
      </c>
      <c r="M31" s="50">
        <f t="shared" si="5"/>
        <v>0</v>
      </c>
      <c r="N31" s="50">
        <f t="shared" si="5"/>
        <v>0</v>
      </c>
      <c r="O31" s="50">
        <f t="shared" si="5"/>
        <v>0</v>
      </c>
      <c r="P31" s="45"/>
      <c r="Q31" s="50">
        <f t="shared" si="1"/>
        <v>0</v>
      </c>
      <c r="R31" s="40"/>
      <c r="S31" s="40"/>
      <c r="T31" s="40"/>
      <c r="U31" s="40"/>
      <c r="V31" s="40"/>
      <c r="W31" s="40"/>
      <c r="X31" s="40"/>
      <c r="Y31" s="40"/>
      <c r="Z31" s="40"/>
    </row>
    <row r="32" spans="2:26" x14ac:dyDescent="0.2">
      <c r="B32" s="80" t="s">
        <v>174</v>
      </c>
      <c r="C32" s="40"/>
      <c r="D32" s="44" t="s">
        <v>162</v>
      </c>
      <c r="E32" s="163">
        <f>-E49</f>
        <v>0</v>
      </c>
      <c r="F32" s="163">
        <f t="shared" ref="F32:O32" si="6">-F49</f>
        <v>0</v>
      </c>
      <c r="G32" s="163">
        <f t="shared" si="6"/>
        <v>0</v>
      </c>
      <c r="H32" s="163">
        <f t="shared" si="6"/>
        <v>0</v>
      </c>
      <c r="I32" s="163">
        <f t="shared" si="6"/>
        <v>0</v>
      </c>
      <c r="J32" s="163">
        <f t="shared" si="6"/>
        <v>0</v>
      </c>
      <c r="K32" s="163">
        <f t="shared" si="6"/>
        <v>0</v>
      </c>
      <c r="L32" s="163">
        <f t="shared" si="6"/>
        <v>0</v>
      </c>
      <c r="M32" s="163">
        <f t="shared" si="6"/>
        <v>0</v>
      </c>
      <c r="N32" s="163">
        <f t="shared" si="6"/>
        <v>0</v>
      </c>
      <c r="O32" s="163">
        <f t="shared" si="6"/>
        <v>0</v>
      </c>
      <c r="P32" s="45"/>
      <c r="Q32" s="50">
        <f t="shared" si="1"/>
        <v>0</v>
      </c>
      <c r="R32" s="40"/>
      <c r="S32" s="40"/>
      <c r="T32" s="40"/>
      <c r="U32" s="40"/>
      <c r="V32" s="40"/>
      <c r="W32" s="40"/>
      <c r="X32" s="40"/>
      <c r="Y32" s="40"/>
      <c r="Z32" s="40"/>
    </row>
    <row r="33" spans="2:26" x14ac:dyDescent="0.2">
      <c r="B33" s="76" t="s">
        <v>155</v>
      </c>
      <c r="C33" s="40"/>
      <c r="D33" s="44" t="s">
        <v>162</v>
      </c>
      <c r="E33" s="65"/>
      <c r="F33" s="65"/>
      <c r="G33" s="65"/>
      <c r="H33" s="65"/>
      <c r="I33" s="65"/>
      <c r="J33" s="65"/>
      <c r="K33" s="65"/>
      <c r="L33" s="65"/>
      <c r="M33" s="65"/>
      <c r="N33" s="65"/>
      <c r="O33" s="65"/>
      <c r="P33" s="45"/>
      <c r="Q33" s="50">
        <f t="shared" si="1"/>
        <v>0</v>
      </c>
      <c r="R33" s="40"/>
      <c r="S33" s="40"/>
      <c r="T33" s="40"/>
      <c r="U33" s="40"/>
      <c r="V33" s="40"/>
      <c r="W33" s="40"/>
      <c r="X33" s="40"/>
      <c r="Y33" s="40"/>
      <c r="Z33" s="40"/>
    </row>
    <row r="34" spans="2:26" x14ac:dyDescent="0.2">
      <c r="B34" s="76" t="s">
        <v>156</v>
      </c>
      <c r="C34" s="40"/>
      <c r="D34" s="44" t="s">
        <v>162</v>
      </c>
      <c r="E34" s="65"/>
      <c r="F34" s="65"/>
      <c r="G34" s="65"/>
      <c r="H34" s="65"/>
      <c r="I34" s="65"/>
      <c r="J34" s="65"/>
      <c r="K34" s="65"/>
      <c r="L34" s="65"/>
      <c r="M34" s="65"/>
      <c r="N34" s="65"/>
      <c r="O34" s="65"/>
      <c r="P34" s="45"/>
      <c r="Q34" s="50">
        <f t="shared" si="1"/>
        <v>0</v>
      </c>
      <c r="R34" s="40"/>
      <c r="S34" s="40"/>
      <c r="T34" s="40"/>
      <c r="U34" s="40"/>
      <c r="V34" s="40"/>
      <c r="W34" s="40"/>
      <c r="X34" s="40"/>
      <c r="Y34" s="40"/>
      <c r="Z34" s="40"/>
    </row>
    <row r="35" spans="2:26" x14ac:dyDescent="0.2">
      <c r="B35" s="76" t="s">
        <v>111</v>
      </c>
      <c r="C35" s="40"/>
      <c r="D35" s="44" t="s">
        <v>162</v>
      </c>
      <c r="E35" s="65"/>
      <c r="F35" s="65"/>
      <c r="G35" s="65"/>
      <c r="H35" s="65"/>
      <c r="I35" s="65"/>
      <c r="J35" s="65"/>
      <c r="K35" s="65"/>
      <c r="L35" s="65"/>
      <c r="M35" s="65"/>
      <c r="N35" s="65"/>
      <c r="O35" s="65"/>
      <c r="P35" s="45"/>
      <c r="Q35" s="50">
        <f t="shared" si="1"/>
        <v>0</v>
      </c>
      <c r="R35" s="40"/>
      <c r="S35" s="40"/>
      <c r="T35" s="40"/>
      <c r="U35" s="40"/>
      <c r="V35" s="40"/>
      <c r="W35" s="40"/>
      <c r="X35" s="40"/>
      <c r="Y35" s="40"/>
      <c r="Z35" s="40"/>
    </row>
    <row r="36" spans="2:26" x14ac:dyDescent="0.2">
      <c r="B36" s="35"/>
      <c r="C36" s="40"/>
      <c r="D36" s="40"/>
      <c r="E36" s="45"/>
      <c r="F36" s="45"/>
      <c r="G36" s="45"/>
      <c r="H36" s="45"/>
      <c r="I36" s="45"/>
      <c r="J36" s="45"/>
      <c r="K36" s="45"/>
      <c r="L36" s="45"/>
      <c r="M36" s="45"/>
      <c r="N36" s="45"/>
      <c r="O36" s="45"/>
      <c r="P36" s="45"/>
      <c r="Q36" s="45"/>
      <c r="R36" s="40"/>
      <c r="S36" s="40"/>
      <c r="T36" s="40"/>
      <c r="U36" s="40"/>
      <c r="V36" s="40"/>
      <c r="W36" s="40"/>
      <c r="X36" s="40"/>
      <c r="Y36" s="40"/>
      <c r="Z36" s="40"/>
    </row>
    <row r="37" spans="2:26" x14ac:dyDescent="0.2">
      <c r="B37" s="57" t="s">
        <v>196</v>
      </c>
      <c r="C37" s="40"/>
      <c r="D37" s="40"/>
      <c r="E37" s="50">
        <f>E13+E19+E31</f>
        <v>0</v>
      </c>
      <c r="F37" s="50">
        <f t="shared" ref="F37:O37" si="7">F13+F19+F31</f>
        <v>0</v>
      </c>
      <c r="G37" s="50">
        <f t="shared" si="7"/>
        <v>0</v>
      </c>
      <c r="H37" s="50">
        <f t="shared" si="7"/>
        <v>0</v>
      </c>
      <c r="I37" s="50">
        <f t="shared" si="7"/>
        <v>0</v>
      </c>
      <c r="J37" s="50">
        <f t="shared" si="7"/>
        <v>0</v>
      </c>
      <c r="K37" s="50">
        <f t="shared" si="7"/>
        <v>0</v>
      </c>
      <c r="L37" s="50">
        <f t="shared" si="7"/>
        <v>0</v>
      </c>
      <c r="M37" s="50">
        <f t="shared" si="7"/>
        <v>0</v>
      </c>
      <c r="N37" s="50">
        <f t="shared" si="7"/>
        <v>0</v>
      </c>
      <c r="O37" s="50">
        <f t="shared" si="7"/>
        <v>0</v>
      </c>
      <c r="P37" s="45"/>
      <c r="Q37" s="50">
        <f t="shared" si="1"/>
        <v>0</v>
      </c>
      <c r="R37" s="40"/>
      <c r="S37" s="40"/>
      <c r="T37" s="40"/>
      <c r="U37" s="40"/>
      <c r="V37" s="40"/>
      <c r="W37" s="40"/>
      <c r="X37" s="40"/>
      <c r="Y37" s="40"/>
      <c r="Z37" s="40"/>
    </row>
    <row r="38" spans="2:26" x14ac:dyDescent="0.2">
      <c r="B38" s="35"/>
      <c r="C38" s="40"/>
      <c r="D38" s="40"/>
      <c r="E38" s="40"/>
      <c r="F38" s="40"/>
      <c r="G38" s="40"/>
      <c r="H38" s="40"/>
      <c r="I38" s="40"/>
      <c r="J38" s="40"/>
      <c r="K38" s="40"/>
      <c r="L38" s="40"/>
      <c r="M38" s="40"/>
      <c r="N38" s="40"/>
      <c r="O38" s="40"/>
      <c r="P38" s="40"/>
      <c r="Q38" s="45"/>
      <c r="R38" s="40"/>
      <c r="S38" s="40"/>
      <c r="T38" s="40"/>
      <c r="U38" s="40"/>
      <c r="V38" s="40"/>
      <c r="W38" s="40"/>
      <c r="X38" s="40"/>
      <c r="Y38" s="40"/>
      <c r="Z38" s="40"/>
    </row>
    <row r="39" spans="2:26" x14ac:dyDescent="0.2">
      <c r="B39" s="47" t="s">
        <v>173</v>
      </c>
      <c r="C39" s="40"/>
      <c r="D39" s="40"/>
      <c r="E39" s="56" t="s">
        <v>170</v>
      </c>
      <c r="F39" s="40"/>
      <c r="G39" s="40"/>
      <c r="H39" s="40"/>
      <c r="I39" s="40"/>
      <c r="J39" s="40"/>
      <c r="K39" s="40"/>
      <c r="L39" s="40"/>
      <c r="M39" s="40"/>
      <c r="N39" s="40"/>
      <c r="O39" s="40"/>
      <c r="P39" s="40"/>
      <c r="Q39" s="45"/>
      <c r="R39" s="40"/>
      <c r="S39" s="40"/>
      <c r="T39" s="40"/>
      <c r="U39" s="40"/>
      <c r="V39" s="40"/>
      <c r="W39" s="40"/>
      <c r="X39" s="40"/>
      <c r="Y39" s="40"/>
      <c r="Z39" s="40"/>
    </row>
    <row r="40" spans="2:26" x14ac:dyDescent="0.2">
      <c r="B40" s="35"/>
      <c r="C40" s="40"/>
      <c r="D40" s="40"/>
      <c r="E40" s="40"/>
      <c r="F40" s="40"/>
      <c r="G40" s="40"/>
      <c r="H40" s="40"/>
      <c r="I40" s="40"/>
      <c r="J40" s="40"/>
      <c r="K40" s="40"/>
      <c r="L40" s="40"/>
      <c r="M40" s="40"/>
      <c r="N40" s="40"/>
      <c r="O40" s="40"/>
      <c r="P40" s="40"/>
      <c r="Q40" s="45"/>
      <c r="R40" s="40"/>
      <c r="S40" s="40"/>
      <c r="T40" s="40"/>
      <c r="U40" s="40"/>
      <c r="V40" s="40"/>
      <c r="W40" s="40"/>
      <c r="X40" s="40"/>
      <c r="Y40" s="40"/>
      <c r="Z40" s="40"/>
    </row>
    <row r="41" spans="2:26" x14ac:dyDescent="0.2">
      <c r="B41" s="51" t="s">
        <v>158</v>
      </c>
      <c r="C41" s="52"/>
      <c r="D41" s="52"/>
      <c r="E41" s="74">
        <f>IFERROR(1/((1+$E$6+E10)^E9),"-")</f>
        <v>1</v>
      </c>
      <c r="F41" s="74">
        <f t="shared" ref="F41:O41" si="8">IFERROR(1/((1+$E$6+F10)^F9),"-")</f>
        <v>0.94339622641509424</v>
      </c>
      <c r="G41" s="74">
        <f t="shared" si="8"/>
        <v>0.88999644001423983</v>
      </c>
      <c r="H41" s="74">
        <f t="shared" si="8"/>
        <v>0.8396192830323016</v>
      </c>
      <c r="I41" s="74">
        <f t="shared" si="8"/>
        <v>0.79209366323802044</v>
      </c>
      <c r="J41" s="74">
        <f t="shared" si="8"/>
        <v>0.74725817286605689</v>
      </c>
      <c r="K41" s="74">
        <f t="shared" si="8"/>
        <v>0.70496054043967626</v>
      </c>
      <c r="L41" s="74">
        <f t="shared" si="8"/>
        <v>0.66505711362233599</v>
      </c>
      <c r="M41" s="74">
        <f t="shared" si="8"/>
        <v>0.62741237134182648</v>
      </c>
      <c r="N41" s="74">
        <f t="shared" si="8"/>
        <v>0.59189846353002495</v>
      </c>
      <c r="O41" s="74" t="str">
        <f t="shared" si="8"/>
        <v>-</v>
      </c>
      <c r="P41" s="40"/>
      <c r="Q41" s="45"/>
      <c r="R41" s="40"/>
      <c r="S41" s="40"/>
      <c r="T41" s="40"/>
      <c r="U41" s="40"/>
      <c r="V41" s="40"/>
      <c r="W41" s="40"/>
      <c r="X41" s="40"/>
      <c r="Y41" s="40"/>
      <c r="Z41" s="40"/>
    </row>
    <row r="42" spans="2:26" x14ac:dyDescent="0.2">
      <c r="B42" s="51" t="s">
        <v>159</v>
      </c>
      <c r="C42" s="52"/>
      <c r="D42" s="52"/>
      <c r="E42" s="75">
        <f>IFERROR(E37*E41,"-")</f>
        <v>0</v>
      </c>
      <c r="F42" s="75">
        <f t="shared" ref="F42:O42" si="9">IFERROR(F37*F41,"-")</f>
        <v>0</v>
      </c>
      <c r="G42" s="75">
        <f t="shared" si="9"/>
        <v>0</v>
      </c>
      <c r="H42" s="75">
        <f t="shared" si="9"/>
        <v>0</v>
      </c>
      <c r="I42" s="75">
        <f t="shared" si="9"/>
        <v>0</v>
      </c>
      <c r="J42" s="75">
        <f t="shared" si="9"/>
        <v>0</v>
      </c>
      <c r="K42" s="75">
        <f t="shared" si="9"/>
        <v>0</v>
      </c>
      <c r="L42" s="75">
        <f t="shared" si="9"/>
        <v>0</v>
      </c>
      <c r="M42" s="75">
        <f t="shared" si="9"/>
        <v>0</v>
      </c>
      <c r="N42" s="75">
        <f t="shared" si="9"/>
        <v>0</v>
      </c>
      <c r="O42" s="75" t="str">
        <f t="shared" si="9"/>
        <v>-</v>
      </c>
      <c r="P42" s="45"/>
      <c r="Q42" s="50">
        <f t="shared" si="1"/>
        <v>0</v>
      </c>
      <c r="R42" s="40"/>
      <c r="S42" s="40"/>
      <c r="T42" s="40"/>
      <c r="U42" s="40"/>
      <c r="V42" s="40"/>
      <c r="W42" s="40"/>
      <c r="X42" s="40"/>
      <c r="Y42" s="40"/>
      <c r="Z42" s="40"/>
    </row>
    <row r="43" spans="2:26" x14ac:dyDescent="0.2">
      <c r="B43" s="35"/>
      <c r="C43" s="40"/>
      <c r="D43" s="40"/>
      <c r="E43" s="45"/>
      <c r="F43" s="45"/>
      <c r="G43" s="45"/>
      <c r="H43" s="45"/>
      <c r="I43" s="45"/>
      <c r="J43" s="45"/>
      <c r="K43" s="45"/>
      <c r="L43" s="45"/>
      <c r="M43" s="45"/>
      <c r="N43" s="45"/>
      <c r="O43" s="45"/>
      <c r="P43" s="45"/>
      <c r="Q43" s="45"/>
      <c r="R43" s="40"/>
      <c r="S43" s="40"/>
      <c r="T43" s="40"/>
      <c r="U43" s="40"/>
      <c r="V43" s="40"/>
      <c r="W43" s="40"/>
      <c r="X43" s="40"/>
      <c r="Y43" s="40"/>
      <c r="Z43" s="40"/>
    </row>
    <row r="44" spans="2:26" x14ac:dyDescent="0.2">
      <c r="B44" s="47" t="s">
        <v>197</v>
      </c>
      <c r="C44" s="40"/>
      <c r="D44" s="40"/>
      <c r="E44" s="55">
        <f>SUM(E42:O42)</f>
        <v>0</v>
      </c>
      <c r="F44" s="45"/>
      <c r="G44" s="45"/>
      <c r="H44" s="45"/>
      <c r="I44" s="45"/>
      <c r="J44" s="45"/>
      <c r="K44" s="45"/>
      <c r="L44" s="45"/>
      <c r="M44" s="45"/>
      <c r="N44" s="45"/>
      <c r="O44" s="45"/>
      <c r="P44" s="45"/>
      <c r="Q44" s="45"/>
      <c r="R44" s="40"/>
      <c r="S44" s="40"/>
      <c r="T44" s="40"/>
      <c r="U44" s="40"/>
      <c r="V44" s="40"/>
      <c r="W44" s="40"/>
      <c r="X44" s="40"/>
      <c r="Y44" s="40"/>
      <c r="Z44" s="40"/>
    </row>
    <row r="45" spans="2:26" s="69" customFormat="1" ht="5.25" x14ac:dyDescent="0.15">
      <c r="B45" s="66"/>
      <c r="C45" s="67"/>
      <c r="D45" s="67"/>
      <c r="E45" s="68"/>
      <c r="F45" s="79"/>
      <c r="G45" s="79"/>
      <c r="H45" s="79"/>
      <c r="I45" s="79"/>
      <c r="J45" s="79"/>
      <c r="K45" s="79"/>
      <c r="L45" s="79"/>
      <c r="M45" s="79"/>
      <c r="N45" s="79"/>
      <c r="O45" s="79"/>
      <c r="P45" s="79"/>
      <c r="Q45" s="79"/>
      <c r="R45" s="67"/>
      <c r="S45" s="67"/>
      <c r="T45" s="67"/>
      <c r="U45" s="67"/>
      <c r="V45" s="67"/>
      <c r="W45" s="67"/>
      <c r="X45" s="67"/>
      <c r="Y45" s="67"/>
      <c r="Z45" s="67"/>
    </row>
    <row r="46" spans="2:26" x14ac:dyDescent="0.2">
      <c r="B46" s="71"/>
      <c r="C46" s="72"/>
      <c r="D46" s="72"/>
      <c r="E46" s="73"/>
      <c r="F46" s="140"/>
      <c r="G46" s="140"/>
      <c r="H46" s="140"/>
      <c r="I46" s="140"/>
      <c r="J46" s="140"/>
      <c r="K46" s="140"/>
      <c r="L46" s="140"/>
      <c r="M46" s="140"/>
      <c r="N46" s="140"/>
      <c r="O46" s="140"/>
      <c r="P46" s="45"/>
      <c r="Q46" s="45"/>
      <c r="R46" s="40"/>
      <c r="S46" s="40"/>
      <c r="T46" s="40"/>
      <c r="U46" s="40"/>
      <c r="V46" s="40"/>
      <c r="W46" s="40"/>
      <c r="X46" s="40"/>
      <c r="Y46" s="40"/>
      <c r="Z46" s="40"/>
    </row>
    <row r="47" spans="2:26" s="69" customFormat="1" ht="5.25" x14ac:dyDescent="0.15">
      <c r="B47" s="66"/>
      <c r="C47" s="67"/>
      <c r="D47" s="67"/>
      <c r="E47" s="70"/>
      <c r="F47" s="79"/>
      <c r="G47" s="79"/>
      <c r="H47" s="79"/>
      <c r="I47" s="79"/>
      <c r="J47" s="79"/>
      <c r="K47" s="79"/>
      <c r="L47" s="79"/>
      <c r="M47" s="79"/>
      <c r="N47" s="79"/>
      <c r="O47" s="79"/>
      <c r="P47" s="79"/>
      <c r="Q47" s="79"/>
      <c r="R47" s="67"/>
      <c r="S47" s="67"/>
      <c r="T47" s="67"/>
      <c r="U47" s="67"/>
      <c r="V47" s="67"/>
      <c r="W47" s="67"/>
      <c r="X47" s="67"/>
      <c r="Y47" s="67"/>
      <c r="Z47" s="67"/>
    </row>
    <row r="48" spans="2:26" x14ac:dyDescent="0.2">
      <c r="B48" s="42" t="s">
        <v>148</v>
      </c>
      <c r="C48" s="40"/>
      <c r="D48" s="40"/>
      <c r="E48" s="63"/>
      <c r="F48" s="45"/>
      <c r="G48" s="45"/>
      <c r="H48" s="45"/>
      <c r="I48" s="45"/>
      <c r="J48" s="45"/>
      <c r="K48" s="45"/>
      <c r="L48" s="45"/>
      <c r="M48" s="45"/>
      <c r="N48" s="45"/>
      <c r="O48" s="45"/>
      <c r="P48" s="45"/>
      <c r="Q48" s="45"/>
      <c r="R48" s="40"/>
      <c r="S48" s="40"/>
      <c r="T48" s="40"/>
      <c r="U48" s="40"/>
      <c r="V48" s="40"/>
      <c r="W48" s="40"/>
      <c r="X48" s="40"/>
      <c r="Y48" s="40"/>
      <c r="Z48" s="40"/>
    </row>
    <row r="49" spans="2:26" x14ac:dyDescent="0.2">
      <c r="B49" s="64" t="s">
        <v>175</v>
      </c>
      <c r="C49" s="40"/>
      <c r="D49" s="43" t="s">
        <v>161</v>
      </c>
      <c r="E49" s="65"/>
      <c r="F49" s="65"/>
      <c r="G49" s="65"/>
      <c r="H49" s="65"/>
      <c r="I49" s="65"/>
      <c r="J49" s="65"/>
      <c r="K49" s="65"/>
      <c r="L49" s="65"/>
      <c r="M49" s="65"/>
      <c r="N49" s="65"/>
      <c r="O49" s="65"/>
      <c r="P49" s="45"/>
      <c r="Q49" s="50">
        <f t="shared" si="1"/>
        <v>0</v>
      </c>
      <c r="R49" s="40"/>
      <c r="S49" s="40"/>
      <c r="T49" s="40"/>
      <c r="U49" s="40"/>
      <c r="V49" s="40"/>
      <c r="W49" s="40"/>
      <c r="X49" s="40"/>
      <c r="Y49" s="40"/>
      <c r="Z49" s="40"/>
    </row>
    <row r="50" spans="2:26" x14ac:dyDescent="0.2">
      <c r="B50" s="51" t="s">
        <v>194</v>
      </c>
      <c r="C50" s="40"/>
      <c r="D50" s="40"/>
      <c r="E50" s="50">
        <f>IFERROR(E49*E41,"-")</f>
        <v>0</v>
      </c>
      <c r="F50" s="50">
        <f t="shared" ref="F50:O50" si="10">IFERROR(F49*F41,"-")</f>
        <v>0</v>
      </c>
      <c r="G50" s="50">
        <f t="shared" si="10"/>
        <v>0</v>
      </c>
      <c r="H50" s="50">
        <f t="shared" si="10"/>
        <v>0</v>
      </c>
      <c r="I50" s="50">
        <f t="shared" si="10"/>
        <v>0</v>
      </c>
      <c r="J50" s="50">
        <f t="shared" si="10"/>
        <v>0</v>
      </c>
      <c r="K50" s="50">
        <f t="shared" si="10"/>
        <v>0</v>
      </c>
      <c r="L50" s="50">
        <f t="shared" si="10"/>
        <v>0</v>
      </c>
      <c r="M50" s="50">
        <f t="shared" si="10"/>
        <v>0</v>
      </c>
      <c r="N50" s="50">
        <f t="shared" si="10"/>
        <v>0</v>
      </c>
      <c r="O50" s="50" t="str">
        <f t="shared" si="10"/>
        <v>-</v>
      </c>
      <c r="P50" s="45"/>
      <c r="Q50" s="50">
        <f>SUM(E50:O50)</f>
        <v>0</v>
      </c>
      <c r="R50" s="40"/>
      <c r="S50" s="40"/>
      <c r="T50" s="40"/>
      <c r="U50" s="40"/>
      <c r="V50" s="40"/>
      <c r="W50" s="40"/>
      <c r="X50" s="40"/>
      <c r="Y50" s="40"/>
      <c r="Z50" s="40"/>
    </row>
    <row r="51" spans="2:26" x14ac:dyDescent="0.2">
      <c r="B51" s="87"/>
      <c r="C51" s="40"/>
      <c r="D51" s="40"/>
      <c r="E51" s="45"/>
      <c r="F51" s="45"/>
      <c r="G51" s="45"/>
      <c r="H51" s="45"/>
      <c r="I51" s="45"/>
      <c r="J51" s="45"/>
      <c r="K51" s="45"/>
      <c r="L51" s="45"/>
      <c r="M51" s="45"/>
      <c r="N51" s="45"/>
      <c r="O51" s="45"/>
      <c r="P51" s="45"/>
      <c r="Q51" s="45"/>
      <c r="R51" s="40"/>
      <c r="S51" s="40"/>
      <c r="T51" s="40"/>
      <c r="U51" s="40"/>
      <c r="V51" s="40"/>
      <c r="W51" s="40"/>
      <c r="X51" s="40"/>
      <c r="Y51" s="40"/>
      <c r="Z51" s="40"/>
    </row>
    <row r="52" spans="2:26" x14ac:dyDescent="0.2">
      <c r="B52" s="47" t="s">
        <v>163</v>
      </c>
      <c r="C52" s="40"/>
      <c r="D52" s="40"/>
      <c r="E52" s="55">
        <f>SUM(E50:O50)</f>
        <v>0</v>
      </c>
      <c r="F52" s="139" t="s">
        <v>216</v>
      </c>
      <c r="G52" s="45"/>
      <c r="H52" s="45"/>
      <c r="I52" s="45"/>
      <c r="J52" s="45"/>
      <c r="K52" s="45"/>
      <c r="L52" s="45"/>
      <c r="M52" s="45"/>
      <c r="N52" s="45"/>
      <c r="O52" s="45"/>
      <c r="P52" s="45"/>
      <c r="Q52" s="45"/>
      <c r="R52" s="40"/>
      <c r="S52" s="40"/>
      <c r="T52" s="40"/>
      <c r="U52" s="40"/>
      <c r="V52" s="40"/>
      <c r="W52" s="40"/>
      <c r="X52" s="40"/>
      <c r="Y52" s="40"/>
      <c r="Z52" s="40"/>
    </row>
    <row r="53" spans="2:26" x14ac:dyDescent="0.2">
      <c r="B53" s="42"/>
      <c r="C53" s="40"/>
      <c r="D53" s="40"/>
      <c r="E53" s="63"/>
      <c r="F53" s="45"/>
      <c r="G53" s="45"/>
      <c r="H53" s="45"/>
      <c r="I53" s="45"/>
      <c r="J53" s="45"/>
      <c r="K53" s="45"/>
      <c r="L53" s="45"/>
      <c r="M53" s="45"/>
      <c r="N53" s="45"/>
      <c r="O53" s="45"/>
      <c r="P53" s="45"/>
      <c r="Q53" s="45"/>
      <c r="R53" s="40"/>
      <c r="S53" s="40"/>
      <c r="T53" s="40"/>
      <c r="U53" s="40"/>
      <c r="V53" s="40"/>
      <c r="W53" s="40"/>
      <c r="X53" s="40"/>
      <c r="Y53" s="40"/>
      <c r="Z53" s="40"/>
    </row>
    <row r="54" spans="2:26" x14ac:dyDescent="0.2">
      <c r="B54" s="57" t="s">
        <v>165</v>
      </c>
      <c r="C54" s="40"/>
      <c r="D54" s="40"/>
      <c r="E54" s="50">
        <f>SUM(E55:E57)</f>
        <v>0</v>
      </c>
      <c r="F54" s="50">
        <f t="shared" ref="F54:O54" si="11">SUM(F55:F57)</f>
        <v>0</v>
      </c>
      <c r="G54" s="50">
        <f t="shared" si="11"/>
        <v>0</v>
      </c>
      <c r="H54" s="50">
        <f t="shared" si="11"/>
        <v>0</v>
      </c>
      <c r="I54" s="50">
        <f t="shared" si="11"/>
        <v>0</v>
      </c>
      <c r="J54" s="50">
        <f t="shared" si="11"/>
        <v>0</v>
      </c>
      <c r="K54" s="50">
        <f t="shared" si="11"/>
        <v>0</v>
      </c>
      <c r="L54" s="50">
        <f t="shared" si="11"/>
        <v>0</v>
      </c>
      <c r="M54" s="50">
        <f t="shared" si="11"/>
        <v>0</v>
      </c>
      <c r="N54" s="50">
        <f t="shared" si="11"/>
        <v>0</v>
      </c>
      <c r="O54" s="50">
        <f t="shared" si="11"/>
        <v>0</v>
      </c>
      <c r="P54" s="45"/>
      <c r="Q54" s="50">
        <f t="shared" si="1"/>
        <v>0</v>
      </c>
      <c r="R54" s="40"/>
      <c r="S54" s="40"/>
      <c r="T54" s="40"/>
      <c r="U54" s="40"/>
      <c r="V54" s="40"/>
      <c r="W54" s="40"/>
      <c r="X54" s="40"/>
      <c r="Y54" s="40"/>
      <c r="Z54" s="40"/>
    </row>
    <row r="55" spans="2:26" x14ac:dyDescent="0.2">
      <c r="B55" s="51" t="s">
        <v>129</v>
      </c>
      <c r="C55" s="52"/>
      <c r="D55" s="53" t="s">
        <v>161</v>
      </c>
      <c r="E55" s="65"/>
      <c r="F55" s="65"/>
      <c r="G55" s="65"/>
      <c r="H55" s="65"/>
      <c r="I55" s="65"/>
      <c r="J55" s="65"/>
      <c r="K55" s="65"/>
      <c r="L55" s="65"/>
      <c r="M55" s="65"/>
      <c r="N55" s="65"/>
      <c r="O55" s="65"/>
      <c r="P55" s="45"/>
      <c r="Q55" s="50">
        <f t="shared" si="1"/>
        <v>0</v>
      </c>
      <c r="R55" s="40"/>
      <c r="S55" s="40"/>
      <c r="T55" s="40"/>
      <c r="U55" s="40"/>
      <c r="V55" s="40"/>
      <c r="W55" s="40"/>
      <c r="X55" s="40"/>
      <c r="Y55" s="40"/>
      <c r="Z55" s="40"/>
    </row>
    <row r="56" spans="2:26" x14ac:dyDescent="0.2">
      <c r="B56" s="51" t="s">
        <v>130</v>
      </c>
      <c r="C56" s="52"/>
      <c r="D56" s="53" t="s">
        <v>161</v>
      </c>
      <c r="E56" s="65"/>
      <c r="F56" s="65"/>
      <c r="G56" s="65"/>
      <c r="H56" s="65"/>
      <c r="I56" s="65"/>
      <c r="J56" s="65"/>
      <c r="K56" s="65"/>
      <c r="L56" s="65"/>
      <c r="M56" s="65"/>
      <c r="N56" s="65"/>
      <c r="O56" s="65"/>
      <c r="P56" s="45"/>
      <c r="Q56" s="50">
        <f t="shared" si="1"/>
        <v>0</v>
      </c>
      <c r="R56" s="40"/>
      <c r="S56" s="40"/>
      <c r="T56" s="40"/>
      <c r="U56" s="40"/>
      <c r="V56" s="40"/>
      <c r="W56" s="40"/>
      <c r="X56" s="40"/>
      <c r="Y56" s="40"/>
      <c r="Z56" s="40"/>
    </row>
    <row r="57" spans="2:26" x14ac:dyDescent="0.2">
      <c r="B57" s="51" t="s">
        <v>131</v>
      </c>
      <c r="C57" s="52"/>
      <c r="D57" s="53" t="s">
        <v>161</v>
      </c>
      <c r="E57" s="65"/>
      <c r="F57" s="65"/>
      <c r="G57" s="65"/>
      <c r="H57" s="65"/>
      <c r="I57" s="65"/>
      <c r="J57" s="65"/>
      <c r="K57" s="65"/>
      <c r="L57" s="65"/>
      <c r="M57" s="65"/>
      <c r="N57" s="65"/>
      <c r="O57" s="65"/>
      <c r="P57" s="45"/>
      <c r="Q57" s="50">
        <f t="shared" si="1"/>
        <v>0</v>
      </c>
      <c r="R57" s="40"/>
      <c r="S57" s="40"/>
      <c r="T57" s="40"/>
      <c r="U57" s="40"/>
      <c r="V57" s="40"/>
      <c r="W57" s="40"/>
      <c r="X57" s="40"/>
      <c r="Y57" s="40"/>
      <c r="Z57" s="40"/>
    </row>
    <row r="58" spans="2:26" x14ac:dyDescent="0.2">
      <c r="B58" s="35"/>
      <c r="C58" s="40"/>
      <c r="D58" s="40"/>
      <c r="E58" s="45"/>
      <c r="F58" s="45"/>
      <c r="G58" s="45"/>
      <c r="H58" s="45"/>
      <c r="I58" s="45"/>
      <c r="J58" s="45"/>
      <c r="K58" s="45"/>
      <c r="L58" s="45"/>
      <c r="M58" s="45"/>
      <c r="N58" s="45"/>
      <c r="O58" s="45"/>
      <c r="P58" s="45"/>
      <c r="Q58" s="45"/>
      <c r="R58" s="40"/>
      <c r="S58" s="40"/>
      <c r="T58" s="40"/>
      <c r="U58" s="40"/>
      <c r="V58" s="40"/>
      <c r="W58" s="40"/>
      <c r="X58" s="40"/>
      <c r="Y58" s="40"/>
      <c r="Z58" s="40"/>
    </row>
    <row r="59" spans="2:26" x14ac:dyDescent="0.2">
      <c r="B59" s="90" t="s">
        <v>166</v>
      </c>
      <c r="C59" s="40"/>
      <c r="D59" s="40"/>
      <c r="E59" s="75">
        <f t="shared" ref="E59:O59" si="12">IFERROR(E54*E41,"-")</f>
        <v>0</v>
      </c>
      <c r="F59" s="75">
        <f t="shared" si="12"/>
        <v>0</v>
      </c>
      <c r="G59" s="75">
        <f t="shared" si="12"/>
        <v>0</v>
      </c>
      <c r="H59" s="75">
        <f t="shared" si="12"/>
        <v>0</v>
      </c>
      <c r="I59" s="75">
        <f t="shared" si="12"/>
        <v>0</v>
      </c>
      <c r="J59" s="75">
        <f t="shared" si="12"/>
        <v>0</v>
      </c>
      <c r="K59" s="75">
        <f t="shared" si="12"/>
        <v>0</v>
      </c>
      <c r="L59" s="75">
        <f t="shared" si="12"/>
        <v>0</v>
      </c>
      <c r="M59" s="75">
        <f t="shared" si="12"/>
        <v>0</v>
      </c>
      <c r="N59" s="75">
        <f t="shared" si="12"/>
        <v>0</v>
      </c>
      <c r="O59" s="75" t="str">
        <f t="shared" si="12"/>
        <v>-</v>
      </c>
      <c r="P59" s="45"/>
      <c r="Q59" s="50">
        <f t="shared" si="1"/>
        <v>0</v>
      </c>
      <c r="R59" s="40"/>
      <c r="S59" s="40"/>
      <c r="T59" s="40"/>
      <c r="U59" s="40"/>
      <c r="V59" s="40"/>
      <c r="W59" s="40"/>
      <c r="X59" s="40"/>
      <c r="Y59" s="40"/>
      <c r="Z59" s="40"/>
    </row>
    <row r="60" spans="2:26" x14ac:dyDescent="0.2">
      <c r="B60" s="35"/>
      <c r="C60" s="40"/>
      <c r="D60" s="40"/>
      <c r="E60" s="45"/>
      <c r="F60" s="45"/>
      <c r="G60" s="45"/>
      <c r="H60" s="45"/>
      <c r="I60" s="45"/>
      <c r="J60" s="45"/>
      <c r="K60" s="45"/>
      <c r="L60" s="45"/>
      <c r="M60" s="45"/>
      <c r="N60" s="45"/>
      <c r="O60" s="45"/>
      <c r="P60" s="45"/>
      <c r="Q60" s="45"/>
      <c r="R60" s="40"/>
      <c r="S60" s="40"/>
      <c r="T60" s="40"/>
      <c r="U60" s="40"/>
      <c r="V60" s="40"/>
      <c r="W60" s="40"/>
      <c r="X60" s="40"/>
      <c r="Y60" s="40"/>
      <c r="Z60" s="40"/>
    </row>
    <row r="61" spans="2:26" x14ac:dyDescent="0.2">
      <c r="B61" s="47" t="s">
        <v>167</v>
      </c>
      <c r="C61" s="40"/>
      <c r="D61" s="40"/>
      <c r="E61" s="55">
        <f>SUM(E59:O59)</f>
        <v>0</v>
      </c>
      <c r="F61" s="139" t="s">
        <v>216</v>
      </c>
      <c r="G61" s="45"/>
      <c r="H61" s="45"/>
      <c r="I61" s="45"/>
      <c r="J61" s="45"/>
      <c r="K61" s="45"/>
      <c r="L61" s="45"/>
      <c r="M61" s="45"/>
      <c r="N61" s="45"/>
      <c r="O61" s="45"/>
      <c r="P61" s="45"/>
      <c r="Q61" s="45"/>
      <c r="R61" s="40"/>
      <c r="S61" s="40"/>
      <c r="T61" s="40"/>
      <c r="U61" s="40"/>
      <c r="V61" s="40"/>
      <c r="W61" s="40"/>
      <c r="X61" s="40"/>
      <c r="Y61" s="40"/>
      <c r="Z61" s="40"/>
    </row>
    <row r="62" spans="2:26" x14ac:dyDescent="0.2">
      <c r="B62" s="35"/>
      <c r="C62" s="40"/>
      <c r="D62" s="40"/>
      <c r="E62" s="45"/>
      <c r="F62" s="45"/>
      <c r="G62" s="45"/>
      <c r="H62" s="45"/>
      <c r="I62" s="45"/>
      <c r="J62" s="45"/>
      <c r="K62" s="45"/>
      <c r="L62" s="45"/>
      <c r="M62" s="45"/>
      <c r="N62" s="45"/>
      <c r="O62" s="45"/>
      <c r="P62" s="45"/>
      <c r="Q62" s="45"/>
      <c r="R62" s="40"/>
      <c r="S62" s="40"/>
      <c r="T62" s="40"/>
      <c r="U62" s="40"/>
      <c r="V62" s="40"/>
      <c r="W62" s="40"/>
      <c r="X62" s="40"/>
      <c r="Y62" s="40"/>
      <c r="Z62" s="40"/>
    </row>
    <row r="63" spans="2:26" x14ac:dyDescent="0.2">
      <c r="B63" s="57" t="s">
        <v>164</v>
      </c>
      <c r="C63" s="40"/>
      <c r="D63" s="40"/>
      <c r="E63" s="50">
        <f>E49+E54</f>
        <v>0</v>
      </c>
      <c r="F63" s="50">
        <f t="shared" ref="F63:O63" si="13">F49+F54</f>
        <v>0</v>
      </c>
      <c r="G63" s="50">
        <f t="shared" si="13"/>
        <v>0</v>
      </c>
      <c r="H63" s="50">
        <f t="shared" si="13"/>
        <v>0</v>
      </c>
      <c r="I63" s="50">
        <f t="shared" si="13"/>
        <v>0</v>
      </c>
      <c r="J63" s="50">
        <f t="shared" si="13"/>
        <v>0</v>
      </c>
      <c r="K63" s="50">
        <f t="shared" si="13"/>
        <v>0</v>
      </c>
      <c r="L63" s="50">
        <f t="shared" si="13"/>
        <v>0</v>
      </c>
      <c r="M63" s="50">
        <f t="shared" si="13"/>
        <v>0</v>
      </c>
      <c r="N63" s="50">
        <f t="shared" si="13"/>
        <v>0</v>
      </c>
      <c r="O63" s="50">
        <f t="shared" si="13"/>
        <v>0</v>
      </c>
      <c r="P63" s="45"/>
      <c r="Q63" s="50">
        <f t="shared" si="1"/>
        <v>0</v>
      </c>
      <c r="R63" s="40"/>
      <c r="S63" s="40"/>
      <c r="T63" s="40"/>
      <c r="U63" s="40"/>
      <c r="V63" s="40"/>
      <c r="W63" s="40"/>
      <c r="X63" s="40"/>
      <c r="Y63" s="40"/>
      <c r="Z63" s="40"/>
    </row>
    <row r="64" spans="2:26" x14ac:dyDescent="0.2">
      <c r="B64" s="51" t="s">
        <v>171</v>
      </c>
      <c r="C64" s="40"/>
      <c r="D64" s="40"/>
      <c r="E64" s="75">
        <f t="shared" ref="E64:O64" si="14">IFERROR(E63*E41,"-")</f>
        <v>0</v>
      </c>
      <c r="F64" s="75">
        <f t="shared" si="14"/>
        <v>0</v>
      </c>
      <c r="G64" s="75">
        <f t="shared" si="14"/>
        <v>0</v>
      </c>
      <c r="H64" s="75">
        <f t="shared" si="14"/>
        <v>0</v>
      </c>
      <c r="I64" s="75">
        <f t="shared" si="14"/>
        <v>0</v>
      </c>
      <c r="J64" s="75">
        <f t="shared" si="14"/>
        <v>0</v>
      </c>
      <c r="K64" s="75">
        <f t="shared" si="14"/>
        <v>0</v>
      </c>
      <c r="L64" s="75">
        <f t="shared" si="14"/>
        <v>0</v>
      </c>
      <c r="M64" s="75">
        <f t="shared" si="14"/>
        <v>0</v>
      </c>
      <c r="N64" s="75">
        <f t="shared" si="14"/>
        <v>0</v>
      </c>
      <c r="O64" s="75" t="str">
        <f t="shared" si="14"/>
        <v>-</v>
      </c>
      <c r="P64" s="45"/>
      <c r="Q64" s="50">
        <f t="shared" si="1"/>
        <v>0</v>
      </c>
      <c r="R64" s="40"/>
      <c r="S64" s="40"/>
      <c r="T64" s="40"/>
      <c r="U64" s="40"/>
      <c r="V64" s="40"/>
      <c r="W64" s="40"/>
      <c r="X64" s="40"/>
      <c r="Y64" s="40"/>
      <c r="Z64" s="40"/>
    </row>
    <row r="65" spans="2:26" x14ac:dyDescent="0.2">
      <c r="C65" s="40"/>
      <c r="D65" s="40"/>
      <c r="E65" s="45"/>
      <c r="F65" s="45"/>
      <c r="G65" s="45"/>
      <c r="H65" s="45"/>
      <c r="I65" s="45"/>
      <c r="J65" s="45"/>
      <c r="K65" s="45"/>
      <c r="L65" s="45"/>
      <c r="M65" s="45"/>
      <c r="N65" s="45"/>
      <c r="O65" s="45"/>
      <c r="P65" s="45"/>
      <c r="Q65" s="45"/>
      <c r="R65" s="40"/>
      <c r="S65" s="40"/>
      <c r="T65" s="40"/>
      <c r="U65" s="40"/>
      <c r="V65" s="40"/>
      <c r="W65" s="40"/>
      <c r="X65" s="40"/>
      <c r="Y65" s="40"/>
      <c r="Z65" s="40"/>
    </row>
    <row r="66" spans="2:26" x14ac:dyDescent="0.2">
      <c r="B66" s="88" t="s">
        <v>139</v>
      </c>
      <c r="C66" s="40"/>
      <c r="D66" s="40"/>
      <c r="E66" s="55">
        <f>SUM(E64:O64)</f>
        <v>0</v>
      </c>
      <c r="F66" s="139" t="s">
        <v>216</v>
      </c>
      <c r="G66" s="45"/>
      <c r="H66" s="45"/>
      <c r="I66" s="45"/>
      <c r="J66" s="45"/>
      <c r="K66" s="45"/>
      <c r="L66" s="45"/>
      <c r="M66" s="45"/>
      <c r="N66" s="45"/>
      <c r="O66" s="45"/>
      <c r="P66" s="45"/>
      <c r="Q66" s="45"/>
      <c r="R66" s="40"/>
      <c r="S66" s="40"/>
      <c r="T66" s="40"/>
      <c r="U66" s="40"/>
      <c r="V66" s="40"/>
      <c r="W66" s="40"/>
      <c r="X66" s="40"/>
      <c r="Y66" s="40"/>
      <c r="Z66" s="40"/>
    </row>
    <row r="67" spans="2:26" x14ac:dyDescent="0.2">
      <c r="C67" s="40"/>
      <c r="D67" s="40"/>
      <c r="E67" s="45"/>
      <c r="F67" s="45"/>
      <c r="G67" s="45"/>
      <c r="H67" s="45"/>
      <c r="I67" s="45"/>
      <c r="J67" s="45"/>
      <c r="K67" s="45"/>
      <c r="L67" s="45"/>
      <c r="M67" s="45"/>
      <c r="N67" s="45"/>
      <c r="O67" s="45"/>
      <c r="P67" s="45"/>
      <c r="Q67" s="45"/>
      <c r="R67" s="40"/>
      <c r="S67" s="40"/>
      <c r="T67" s="40"/>
      <c r="U67" s="40"/>
      <c r="V67" s="40"/>
      <c r="W67" s="40"/>
      <c r="X67" s="40"/>
      <c r="Y67" s="40"/>
      <c r="Z67" s="40"/>
    </row>
    <row r="68" spans="2:26" x14ac:dyDescent="0.2">
      <c r="B68" s="107" t="s">
        <v>145</v>
      </c>
      <c r="C68" s="40"/>
      <c r="D68" s="40"/>
      <c r="E68" s="82"/>
      <c r="F68" s="82"/>
      <c r="G68" s="82"/>
      <c r="H68" s="82"/>
      <c r="I68" s="82"/>
      <c r="J68" s="82"/>
      <c r="K68" s="82"/>
      <c r="L68" s="82"/>
      <c r="M68" s="82"/>
      <c r="N68" s="82"/>
      <c r="O68" s="82"/>
      <c r="P68" s="45"/>
      <c r="Q68" s="50">
        <f t="shared" ref="Q68" si="15">SUM(E68:O68)</f>
        <v>0</v>
      </c>
      <c r="R68" s="40"/>
      <c r="S68" s="40"/>
      <c r="T68" s="40"/>
      <c r="U68" s="40"/>
      <c r="V68" s="40"/>
      <c r="W68" s="40"/>
      <c r="X68" s="40"/>
      <c r="Y68" s="40"/>
      <c r="Z68" s="40"/>
    </row>
    <row r="69" spans="2:26" x14ac:dyDescent="0.2">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2:26" x14ac:dyDescent="0.2"/>
  </sheetData>
  <mergeCells count="1">
    <mergeCell ref="E2:G2"/>
  </mergeCells>
  <conditionalFormatting sqref="B5:Q68">
    <cfRule type="expression" dxfId="5" priority="1">
      <formula>$E$2="NEAIZPILDĪT"</formula>
    </cfRule>
  </conditionalFormatting>
  <conditionalFormatting sqref="E2:G2">
    <cfRule type="cellIs" dxfId="4" priority="3" operator="equal">
      <formula>"NEAIZPILDĪT"</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15</vt:i4>
      </vt:variant>
    </vt:vector>
  </HeadingPairs>
  <TitlesOfParts>
    <vt:vector size="15" baseType="lpstr">
      <vt:lpstr>Titullapa</vt:lpstr>
      <vt:lpstr>Proj_FinEkonAnalize </vt:lpstr>
      <vt:lpstr>Pieņēmumi</vt:lpstr>
      <vt:lpstr>Projekts</vt:lpstr>
      <vt:lpstr>NPV_Bāze_I</vt:lpstr>
      <vt:lpstr>NPV_PPP_koncesija</vt:lpstr>
      <vt:lpstr>Tarifs</vt:lpstr>
      <vt:lpstr>NPV_Bāze_II</vt:lpstr>
      <vt:lpstr>NPV_PPP_partnerība</vt:lpstr>
      <vt:lpstr>NPV_PPP_institucionālā</vt:lpstr>
      <vt:lpstr>Risku analīze</vt:lpstr>
      <vt:lpstr>Jutīguma analīze</vt:lpstr>
      <vt:lpstr>VK - saistības</vt:lpstr>
      <vt:lpstr>IAV</vt:lpstr>
      <vt:lpstr>Statistiskā uzskaite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2020-08-17T22:30:59Z</dcterms:created>
  <dcterms:modified xsi:type="dcterms:W3CDTF">2025-10-31T09:19:39Z</dcterms:modified>
</cp:coreProperties>
</file>